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wner\Desktop\S2 Files\Arcata\TIGER V\"/>
    </mc:Choice>
  </mc:AlternateContent>
  <bookViews>
    <workbookView xWindow="0" yWindow="0" windowWidth="19140" windowHeight="7530"/>
  </bookViews>
  <sheets>
    <sheet name="Overall CnB Analysis" sheetId="1" r:id="rId1"/>
    <sheet name="ARwT Costs" sheetId="2" r:id="rId2"/>
    <sheet name="Accident Value Benefit" sheetId="3" r:id="rId3"/>
    <sheet name="Trail Benefit Analysis" sheetId="4" r:id="rId4"/>
    <sheet name="20 Year OnM" sheetId="5" r:id="rId5"/>
    <sheet name="GhGE_Reductions" sheetId="6" r:id="rId6"/>
    <sheet name="ARwT Benefits" sheetId="7" r:id="rId7"/>
    <sheet name="Detailed Construction Costs" sheetId="8" r:id="rId8"/>
  </sheets>
  <definedNames>
    <definedName name="_xlnm.Print_Area" localSheetId="2">'Accident Value Benefit'!$B$2:$O$23</definedName>
    <definedName name="_xlnm.Print_Area" localSheetId="0">'Overall CnB Analysis'!$A$1:$W$46</definedName>
    <definedName name="_xlnm.Print_Area" localSheetId="3">'Trail Benefit Analysis'!$B$3:$M$21</definedName>
  </definedNames>
  <calcPr calcId="152511" iterateDelta="1E-4"/>
</workbook>
</file>

<file path=xl/calcChain.xml><?xml version="1.0" encoding="utf-8"?>
<calcChain xmlns="http://schemas.openxmlformats.org/spreadsheetml/2006/main">
  <c r="J37" i="8" l="1"/>
  <c r="J36" i="8"/>
  <c r="I36" i="8"/>
  <c r="J35" i="8"/>
  <c r="J34" i="8"/>
  <c r="I33" i="8"/>
  <c r="G33" i="8"/>
  <c r="J33" i="8" s="1"/>
  <c r="J32" i="8"/>
  <c r="I32" i="8"/>
  <c r="G32" i="8"/>
  <c r="J31" i="8"/>
  <c r="J30" i="8"/>
  <c r="I29" i="8"/>
  <c r="G29" i="8"/>
  <c r="J29" i="8" s="1"/>
  <c r="J28" i="8"/>
  <c r="I28" i="8"/>
  <c r="G28" i="8"/>
  <c r="J27" i="8"/>
  <c r="J26" i="8"/>
  <c r="I26" i="8"/>
  <c r="I25" i="8"/>
  <c r="G25" i="8"/>
  <c r="I24" i="8"/>
  <c r="G24" i="8"/>
  <c r="J24" i="8" s="1"/>
  <c r="J23" i="8"/>
  <c r="I23" i="8"/>
  <c r="G23" i="8"/>
  <c r="I22" i="8"/>
  <c r="J22" i="8" s="1"/>
  <c r="G22" i="8"/>
  <c r="I21" i="8"/>
  <c r="J21" i="8" s="1"/>
  <c r="G21" i="8"/>
  <c r="I20" i="8"/>
  <c r="G20" i="8"/>
  <c r="J20" i="8" s="1"/>
  <c r="J19" i="8"/>
  <c r="I19" i="8"/>
  <c r="G19" i="8"/>
  <c r="J18" i="8"/>
  <c r="J17" i="8"/>
  <c r="I17" i="8"/>
  <c r="G17" i="8"/>
  <c r="J16" i="8"/>
  <c r="I16" i="8"/>
  <c r="G16" i="8"/>
  <c r="I15" i="8"/>
  <c r="G15" i="8"/>
  <c r="I14" i="8"/>
  <c r="G14" i="8"/>
  <c r="J14" i="8" s="1"/>
  <c r="J13" i="8"/>
  <c r="J12" i="8"/>
  <c r="J11" i="8"/>
  <c r="I10" i="8"/>
  <c r="J10" i="8" s="1"/>
  <c r="G10" i="8"/>
  <c r="J9" i="8"/>
  <c r="J8" i="8"/>
  <c r="J7" i="8"/>
  <c r="I7" i="8"/>
  <c r="G7" i="8"/>
  <c r="J6" i="8"/>
  <c r="I19" i="6"/>
  <c r="F19" i="6"/>
  <c r="E19" i="6"/>
  <c r="G19" i="6" s="1"/>
  <c r="D19" i="6"/>
  <c r="C19" i="6"/>
  <c r="E18" i="6"/>
  <c r="D18" i="6"/>
  <c r="C18" i="6"/>
  <c r="D17" i="6"/>
  <c r="E17" i="6" s="1"/>
  <c r="C17" i="6"/>
  <c r="G16" i="6"/>
  <c r="F16" i="6"/>
  <c r="C16" i="6"/>
  <c r="D16" i="6" s="1"/>
  <c r="E16" i="6" s="1"/>
  <c r="C15" i="6"/>
  <c r="D15" i="6" s="1"/>
  <c r="E15" i="6" s="1"/>
  <c r="E14" i="6"/>
  <c r="D14" i="6"/>
  <c r="C14" i="6"/>
  <c r="C13" i="6"/>
  <c r="D13" i="6" s="1"/>
  <c r="E13" i="6" s="1"/>
  <c r="G12" i="6"/>
  <c r="F12" i="6"/>
  <c r="C12" i="6"/>
  <c r="D12" i="6" s="1"/>
  <c r="E12" i="6" s="1"/>
  <c r="C11" i="6"/>
  <c r="D11" i="6" s="1"/>
  <c r="E11" i="6" s="1"/>
  <c r="E10" i="6"/>
  <c r="D10" i="6"/>
  <c r="C10" i="6"/>
  <c r="C9" i="6"/>
  <c r="D9" i="6" s="1"/>
  <c r="G8" i="6"/>
  <c r="F8" i="6"/>
  <c r="C8" i="6"/>
  <c r="D8" i="6" s="1"/>
  <c r="E8" i="6" s="1"/>
  <c r="C7" i="6"/>
  <c r="D7" i="6" s="1"/>
  <c r="E7" i="6" s="1"/>
  <c r="D6" i="5"/>
  <c r="D5" i="5"/>
  <c r="C5" i="5"/>
  <c r="C10" i="4"/>
  <c r="M9" i="4"/>
  <c r="L9" i="4"/>
  <c r="F9" i="4"/>
  <c r="E9" i="4"/>
  <c r="J9" i="4" s="1"/>
  <c r="K8" i="4"/>
  <c r="J8" i="4"/>
  <c r="F8" i="4"/>
  <c r="E8" i="4"/>
  <c r="H7" i="4"/>
  <c r="G7" i="4"/>
  <c r="F7" i="4"/>
  <c r="I7" i="4" s="1"/>
  <c r="E7" i="4"/>
  <c r="J7" i="4" s="1"/>
  <c r="J10" i="4" s="1"/>
  <c r="I6" i="4"/>
  <c r="F6" i="4"/>
  <c r="G6" i="4" s="1"/>
  <c r="H6" i="4" s="1"/>
  <c r="E6" i="4"/>
  <c r="J6" i="4" s="1"/>
  <c r="K6" i="4" s="1"/>
  <c r="E13" i="3"/>
  <c r="E12" i="3"/>
  <c r="E11" i="3"/>
  <c r="E10" i="3"/>
  <c r="E9" i="3"/>
  <c r="E8" i="3"/>
  <c r="E7" i="3"/>
  <c r="E14" i="3" s="1"/>
  <c r="G20" i="2"/>
  <c r="D20" i="2"/>
  <c r="H12" i="2"/>
  <c r="G12" i="2"/>
  <c r="E12" i="2"/>
  <c r="F11" i="2"/>
  <c r="D11" i="2" s="1"/>
  <c r="F10" i="2"/>
  <c r="D10" i="2"/>
  <c r="F9" i="2"/>
  <c r="D9" i="2" s="1"/>
  <c r="F8" i="2"/>
  <c r="D8" i="2"/>
  <c r="F7" i="2"/>
  <c r="D7" i="2" s="1"/>
  <c r="F6" i="2"/>
  <c r="D6" i="2"/>
  <c r="F5" i="2"/>
  <c r="K28" i="1"/>
  <c r="P27" i="1"/>
  <c r="N27" i="1"/>
  <c r="M27" i="1"/>
  <c r="O27" i="1" s="1"/>
  <c r="J27" i="1"/>
  <c r="G27" i="1"/>
  <c r="U27" i="1" s="1"/>
  <c r="P26" i="1"/>
  <c r="O26" i="1"/>
  <c r="N26" i="1"/>
  <c r="J26" i="1"/>
  <c r="G26" i="1"/>
  <c r="U26" i="1" s="1"/>
  <c r="U25" i="1"/>
  <c r="P25" i="1"/>
  <c r="O25" i="1"/>
  <c r="N25" i="1"/>
  <c r="J25" i="1"/>
  <c r="G25" i="1"/>
  <c r="O24" i="1"/>
  <c r="N24" i="1"/>
  <c r="P24" i="1" s="1"/>
  <c r="J24" i="1"/>
  <c r="G24" i="1"/>
  <c r="U24" i="1" s="1"/>
  <c r="U23" i="1"/>
  <c r="N23" i="1"/>
  <c r="J23" i="1"/>
  <c r="G23" i="1"/>
  <c r="U22" i="1"/>
  <c r="P22" i="1"/>
  <c r="O22" i="1"/>
  <c r="N22" i="1"/>
  <c r="J22" i="1"/>
  <c r="G22" i="1"/>
  <c r="N21" i="1"/>
  <c r="J21" i="1"/>
  <c r="G21" i="1"/>
  <c r="U21" i="1" s="1"/>
  <c r="N20" i="1"/>
  <c r="J20" i="1"/>
  <c r="G20" i="1"/>
  <c r="U20" i="1" s="1"/>
  <c r="U19" i="1"/>
  <c r="P19" i="1"/>
  <c r="O19" i="1"/>
  <c r="N19" i="1"/>
  <c r="J19" i="1"/>
  <c r="G19" i="1"/>
  <c r="U18" i="1"/>
  <c r="P18" i="1"/>
  <c r="O18" i="1"/>
  <c r="N18" i="1"/>
  <c r="J18" i="1"/>
  <c r="G18" i="1"/>
  <c r="O17" i="1"/>
  <c r="N17" i="1"/>
  <c r="P17" i="1" s="1"/>
  <c r="J17" i="1"/>
  <c r="G17" i="1"/>
  <c r="U17" i="1" s="1"/>
  <c r="N16" i="1"/>
  <c r="J16" i="1"/>
  <c r="G16" i="1"/>
  <c r="U16" i="1" s="1"/>
  <c r="U15" i="1"/>
  <c r="P15" i="1"/>
  <c r="O15" i="1"/>
  <c r="N15" i="1"/>
  <c r="J15" i="1"/>
  <c r="G15" i="1"/>
  <c r="U14" i="1"/>
  <c r="N14" i="1"/>
  <c r="O14" i="1" s="1"/>
  <c r="J14" i="1"/>
  <c r="G14" i="1"/>
  <c r="N13" i="1"/>
  <c r="O13" i="1" s="1"/>
  <c r="J13" i="1"/>
  <c r="G13" i="1"/>
  <c r="U13" i="1" s="1"/>
  <c r="U12" i="1"/>
  <c r="P12" i="1"/>
  <c r="O12" i="1"/>
  <c r="N12" i="1"/>
  <c r="J12" i="1"/>
  <c r="G12" i="1"/>
  <c r="U11" i="1"/>
  <c r="P11" i="1"/>
  <c r="O11" i="1"/>
  <c r="N11" i="1"/>
  <c r="J11" i="1"/>
  <c r="G11" i="1"/>
  <c r="O10" i="1"/>
  <c r="N10" i="1"/>
  <c r="P10" i="1" s="1"/>
  <c r="J10" i="1"/>
  <c r="H10" i="1"/>
  <c r="H11" i="1" s="1"/>
  <c r="H12" i="1" s="1"/>
  <c r="H13" i="1" s="1"/>
  <c r="H14" i="1" s="1"/>
  <c r="H15" i="1" s="1"/>
  <c r="H16" i="1" s="1"/>
  <c r="H17" i="1" s="1"/>
  <c r="H18" i="1" s="1"/>
  <c r="H19" i="1" s="1"/>
  <c r="H20" i="1" s="1"/>
  <c r="H21" i="1" s="1"/>
  <c r="H22" i="1" s="1"/>
  <c r="H23" i="1" s="1"/>
  <c r="H24" i="1" s="1"/>
  <c r="H25" i="1" s="1"/>
  <c r="H26" i="1" s="1"/>
  <c r="H27" i="1" s="1"/>
  <c r="G10" i="1"/>
  <c r="U10" i="1" s="1"/>
  <c r="D10" i="1"/>
  <c r="N9" i="1"/>
  <c r="J9" i="1"/>
  <c r="H9" i="1"/>
  <c r="G9" i="1"/>
  <c r="U9" i="1" s="1"/>
  <c r="D9" i="1"/>
  <c r="U8" i="1"/>
  <c r="P8" i="1"/>
  <c r="O8" i="1"/>
  <c r="N8" i="1"/>
  <c r="J8" i="1"/>
  <c r="I8" i="1"/>
  <c r="H8" i="1"/>
  <c r="G8" i="1"/>
  <c r="F8" i="1"/>
  <c r="D8" i="1"/>
  <c r="C8" i="1"/>
  <c r="P7" i="1"/>
  <c r="O7" i="1"/>
  <c r="N7" i="1"/>
  <c r="G7" i="1"/>
  <c r="E7" i="1"/>
  <c r="V6" i="1"/>
  <c r="U6" i="1"/>
  <c r="T6" i="1"/>
  <c r="W6" i="1" s="1"/>
  <c r="S6" i="1"/>
  <c r="P6" i="1"/>
  <c r="O6" i="1"/>
  <c r="L6" i="1"/>
  <c r="W5" i="1"/>
  <c r="U5" i="1"/>
  <c r="T5" i="1"/>
  <c r="S5" i="1"/>
  <c r="V5" i="1" s="1"/>
  <c r="P5" i="1"/>
  <c r="O5" i="1"/>
  <c r="L5" i="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U4" i="1"/>
  <c r="T4" i="1"/>
  <c r="S4" i="1"/>
  <c r="P4" i="1"/>
  <c r="O4" i="1"/>
  <c r="L4" i="1"/>
  <c r="L7" i="1" l="1"/>
  <c r="Q7" i="1" s="1"/>
  <c r="E8" i="1"/>
  <c r="L8" i="1" s="1"/>
  <c r="Q8" i="1" s="1"/>
  <c r="O9" i="1"/>
  <c r="P9" i="1"/>
  <c r="P28" i="1" s="1"/>
  <c r="T33" i="1" s="1"/>
  <c r="W33" i="1" s="1"/>
  <c r="I8" i="4"/>
  <c r="F10" i="4"/>
  <c r="G8" i="4"/>
  <c r="H8" i="4" s="1"/>
  <c r="G28" i="1"/>
  <c r="W4" i="1"/>
  <c r="F17" i="6"/>
  <c r="G17" i="6"/>
  <c r="V4" i="1"/>
  <c r="D11" i="1"/>
  <c r="O16" i="1"/>
  <c r="P16" i="1"/>
  <c r="P21" i="1"/>
  <c r="O21" i="1"/>
  <c r="H10" i="4"/>
  <c r="M6" i="4"/>
  <c r="I8" i="6"/>
  <c r="L8" i="6"/>
  <c r="H8" i="6"/>
  <c r="J8" i="6"/>
  <c r="K8" i="6"/>
  <c r="F13" i="6"/>
  <c r="G13" i="6"/>
  <c r="U28" i="1"/>
  <c r="U7" i="1"/>
  <c r="F9" i="1"/>
  <c r="F10" i="1" s="1"/>
  <c r="F11" i="1" s="1"/>
  <c r="F12" i="1" s="1"/>
  <c r="F13" i="1" s="1"/>
  <c r="F14" i="1" s="1"/>
  <c r="F15" i="1" s="1"/>
  <c r="F16" i="1" s="1"/>
  <c r="F17" i="1" s="1"/>
  <c r="F18" i="1" s="1"/>
  <c r="F19" i="1" s="1"/>
  <c r="F20" i="1" s="1"/>
  <c r="F21" i="1" s="1"/>
  <c r="F22" i="1" s="1"/>
  <c r="F23" i="1" s="1"/>
  <c r="F24" i="1" s="1"/>
  <c r="F25" i="1" s="1"/>
  <c r="F26" i="1" s="1"/>
  <c r="F27" i="1" s="1"/>
  <c r="J28" i="1"/>
  <c r="C9" i="1"/>
  <c r="E9" i="6"/>
  <c r="D20" i="6"/>
  <c r="I9" i="4"/>
  <c r="G9" i="4"/>
  <c r="D7" i="5"/>
  <c r="D8" i="5" s="1"/>
  <c r="D9" i="5" s="1"/>
  <c r="D10" i="5" s="1"/>
  <c r="D11" i="5" s="1"/>
  <c r="D12" i="5" s="1"/>
  <c r="D13" i="5" s="1"/>
  <c r="D14" i="5" s="1"/>
  <c r="D15" i="5" s="1"/>
  <c r="D16" i="5" s="1"/>
  <c r="D17" i="5" s="1"/>
  <c r="D18" i="5" s="1"/>
  <c r="D19" i="5" s="1"/>
  <c r="D20" i="5" s="1"/>
  <c r="D21" i="5" s="1"/>
  <c r="D22" i="5" s="1"/>
  <c r="D23" i="5" s="1"/>
  <c r="D24" i="5"/>
  <c r="G15" i="6"/>
  <c r="F15" i="6"/>
  <c r="N28" i="1"/>
  <c r="I28" i="1"/>
  <c r="P13" i="1"/>
  <c r="P14" i="1"/>
  <c r="E20" i="6"/>
  <c r="G7" i="6"/>
  <c r="F7" i="6"/>
  <c r="G10" i="6"/>
  <c r="F10" i="6"/>
  <c r="I12" i="6"/>
  <c r="M12" i="6" s="1"/>
  <c r="L12" i="6"/>
  <c r="H12" i="6"/>
  <c r="J12" i="6"/>
  <c r="K12" i="6"/>
  <c r="I38" i="8"/>
  <c r="J15" i="8"/>
  <c r="O20" i="1"/>
  <c r="P20" i="1"/>
  <c r="G18" i="6"/>
  <c r="F18" i="6"/>
  <c r="O28" i="1"/>
  <c r="S33" i="1" s="1"/>
  <c r="V33" i="1" s="1"/>
  <c r="H28" i="1"/>
  <c r="I9" i="1"/>
  <c r="I10" i="1" s="1"/>
  <c r="I11" i="1" s="1"/>
  <c r="I12" i="1" s="1"/>
  <c r="I13" i="1" s="1"/>
  <c r="I14" i="1" s="1"/>
  <c r="I15" i="1" s="1"/>
  <c r="I16" i="1" s="1"/>
  <c r="I17" i="1" s="1"/>
  <c r="I18" i="1" s="1"/>
  <c r="I19" i="1" s="1"/>
  <c r="I20" i="1" s="1"/>
  <c r="I21" i="1" s="1"/>
  <c r="I22" i="1" s="1"/>
  <c r="I23" i="1" s="1"/>
  <c r="I24" i="1" s="1"/>
  <c r="I25" i="1" s="1"/>
  <c r="I26" i="1" s="1"/>
  <c r="I27" i="1" s="1"/>
  <c r="O23" i="1"/>
  <c r="P23" i="1"/>
  <c r="G10" i="4"/>
  <c r="K7" i="4"/>
  <c r="G11" i="6"/>
  <c r="F11" i="6"/>
  <c r="G14" i="6"/>
  <c r="F14" i="6"/>
  <c r="I16" i="6"/>
  <c r="L16" i="6"/>
  <c r="H16" i="6"/>
  <c r="J16" i="6"/>
  <c r="K16" i="6"/>
  <c r="J25" i="8"/>
  <c r="J38" i="8" s="1"/>
  <c r="F12" i="2"/>
  <c r="D5" i="2"/>
  <c r="D12" i="2" s="1"/>
  <c r="D14" i="2" s="1"/>
  <c r="K10" i="4"/>
  <c r="L6" i="4"/>
  <c r="M8" i="4"/>
  <c r="L8" i="4"/>
  <c r="C6" i="5"/>
  <c r="C7" i="5" s="1"/>
  <c r="C8" i="5" s="1"/>
  <c r="C9" i="5" s="1"/>
  <c r="C10" i="5" s="1"/>
  <c r="C11" i="5" s="1"/>
  <c r="C12" i="5" s="1"/>
  <c r="C13" i="5" s="1"/>
  <c r="C14" i="5" s="1"/>
  <c r="C15" i="5" s="1"/>
  <c r="C16" i="5" s="1"/>
  <c r="C17" i="5" s="1"/>
  <c r="C18" i="5" s="1"/>
  <c r="C19" i="5" s="1"/>
  <c r="C20" i="5" s="1"/>
  <c r="C21" i="5" s="1"/>
  <c r="C22" i="5" s="1"/>
  <c r="C23" i="5" s="1"/>
  <c r="L19" i="6"/>
  <c r="M19" i="6" s="1"/>
  <c r="H19" i="6"/>
  <c r="K19" i="6"/>
  <c r="M28" i="1"/>
  <c r="E10" i="4"/>
  <c r="J19" i="6"/>
  <c r="G38" i="8"/>
  <c r="L7" i="6" l="1"/>
  <c r="H7" i="6"/>
  <c r="K7" i="6"/>
  <c r="J7" i="6"/>
  <c r="I7" i="6"/>
  <c r="L15" i="6"/>
  <c r="H15" i="6"/>
  <c r="K15" i="6"/>
  <c r="I15" i="6"/>
  <c r="J15" i="6"/>
  <c r="D12" i="1"/>
  <c r="I10" i="4"/>
  <c r="L10" i="4"/>
  <c r="J13" i="6"/>
  <c r="I13" i="6"/>
  <c r="H13" i="6"/>
  <c r="K13" i="6"/>
  <c r="L13" i="6"/>
  <c r="C24" i="5"/>
  <c r="C25" i="5" s="1"/>
  <c r="M16" i="6"/>
  <c r="L11" i="6"/>
  <c r="H11" i="6"/>
  <c r="K11" i="6"/>
  <c r="I11" i="6"/>
  <c r="J11" i="6"/>
  <c r="K10" i="6"/>
  <c r="J10" i="6"/>
  <c r="I10" i="6"/>
  <c r="L10" i="6"/>
  <c r="H10" i="6"/>
  <c r="F9" i="6"/>
  <c r="G9" i="6"/>
  <c r="G20" i="6" s="1"/>
  <c r="F28" i="1"/>
  <c r="S7" i="1"/>
  <c r="T7" i="1"/>
  <c r="K14" i="6"/>
  <c r="J14" i="6"/>
  <c r="I14" i="6"/>
  <c r="M14" i="6" s="1"/>
  <c r="L14" i="6"/>
  <c r="H14" i="6"/>
  <c r="M10" i="4"/>
  <c r="J17" i="6"/>
  <c r="I17" i="6"/>
  <c r="H17" i="6"/>
  <c r="L17" i="6"/>
  <c r="K17" i="6"/>
  <c r="M7" i="4"/>
  <c r="L7" i="4"/>
  <c r="K18" i="6"/>
  <c r="J18" i="6"/>
  <c r="I18" i="6"/>
  <c r="L18" i="6"/>
  <c r="H18" i="6"/>
  <c r="F20" i="6"/>
  <c r="E9" i="1"/>
  <c r="C10" i="1"/>
  <c r="M8" i="6"/>
  <c r="S8" i="1"/>
  <c r="V8" i="1" s="1"/>
  <c r="T8" i="1"/>
  <c r="W8" i="1" s="1"/>
  <c r="M10" i="6" l="1"/>
  <c r="I20" i="6"/>
  <c r="M7" i="6"/>
  <c r="L9" i="1"/>
  <c r="M18" i="6"/>
  <c r="M17" i="6"/>
  <c r="D13" i="1"/>
  <c r="W7" i="1"/>
  <c r="V7" i="1"/>
  <c r="J9" i="6"/>
  <c r="I9" i="6"/>
  <c r="H9" i="6"/>
  <c r="H20" i="6" s="1"/>
  <c r="K9" i="6"/>
  <c r="K20" i="6" s="1"/>
  <c r="L9" i="6"/>
  <c r="M11" i="6"/>
  <c r="M15" i="6"/>
  <c r="C11" i="1"/>
  <c r="E10" i="1"/>
  <c r="L10" i="1" s="1"/>
  <c r="Q10" i="1" s="1"/>
  <c r="M13" i="6"/>
  <c r="J20" i="6"/>
  <c r="L20" i="6"/>
  <c r="E11" i="1" l="1"/>
  <c r="C12" i="1"/>
  <c r="L21" i="6"/>
  <c r="T10" i="1"/>
  <c r="W10" i="1" s="1"/>
  <c r="S10" i="1"/>
  <c r="V10" i="1" s="1"/>
  <c r="D14" i="1"/>
  <c r="Q9" i="1"/>
  <c r="M9" i="6"/>
  <c r="M20" i="6" s="1"/>
  <c r="M21" i="6" s="1"/>
  <c r="E12" i="1" l="1"/>
  <c r="L12" i="1" s="1"/>
  <c r="Q12" i="1" s="1"/>
  <c r="C13" i="1"/>
  <c r="D15" i="1"/>
  <c r="L11" i="1"/>
  <c r="T9" i="1"/>
  <c r="S9" i="1"/>
  <c r="V9" i="1" l="1"/>
  <c r="W9" i="1"/>
  <c r="D16" i="1"/>
  <c r="C14" i="1"/>
  <c r="E13" i="1"/>
  <c r="Q11" i="1"/>
  <c r="S12" i="1"/>
  <c r="V12" i="1" s="1"/>
  <c r="T12" i="1"/>
  <c r="W12" i="1" s="1"/>
  <c r="C15" i="1" l="1"/>
  <c r="E14" i="1"/>
  <c r="L14" i="1" s="1"/>
  <c r="Q14" i="1" s="1"/>
  <c r="S11" i="1"/>
  <c r="T11" i="1"/>
  <c r="L13" i="1"/>
  <c r="D17" i="1"/>
  <c r="Q13" i="1" l="1"/>
  <c r="V11" i="1"/>
  <c r="D18" i="1"/>
  <c r="S14" i="1"/>
  <c r="V14" i="1" s="1"/>
  <c r="T14" i="1"/>
  <c r="W14" i="1" s="1"/>
  <c r="W11" i="1"/>
  <c r="E15" i="1"/>
  <c r="C16" i="1"/>
  <c r="L15" i="1" l="1"/>
  <c r="Q15" i="1" s="1"/>
  <c r="E16" i="1"/>
  <c r="L16" i="1" s="1"/>
  <c r="Q16" i="1" s="1"/>
  <c r="C17" i="1"/>
  <c r="D19" i="1"/>
  <c r="T13" i="1"/>
  <c r="W13" i="1" s="1"/>
  <c r="S13" i="1"/>
  <c r="V13" i="1" l="1"/>
  <c r="C18" i="1"/>
  <c r="E17" i="1"/>
  <c r="L17" i="1" s="1"/>
  <c r="Q17" i="1" s="1"/>
  <c r="T16" i="1"/>
  <c r="W16" i="1" s="1"/>
  <c r="S16" i="1"/>
  <c r="V16" i="1" s="1"/>
  <c r="D20" i="1"/>
  <c r="S15" i="1"/>
  <c r="V15" i="1" s="1"/>
  <c r="T15" i="1"/>
  <c r="W15" i="1" s="1"/>
  <c r="D21" i="1" l="1"/>
  <c r="E18" i="1"/>
  <c r="L18" i="1" s="1"/>
  <c r="Q18" i="1" s="1"/>
  <c r="C19" i="1"/>
  <c r="T17" i="1"/>
  <c r="W17" i="1" s="1"/>
  <c r="S17" i="1"/>
  <c r="V17" i="1" s="1"/>
  <c r="S18" i="1" l="1"/>
  <c r="V18" i="1" s="1"/>
  <c r="T18" i="1"/>
  <c r="W18" i="1" s="1"/>
  <c r="E19" i="1"/>
  <c r="L19" i="1" s="1"/>
  <c r="Q19" i="1" s="1"/>
  <c r="C20" i="1"/>
  <c r="D22" i="1"/>
  <c r="D23" i="1" l="1"/>
  <c r="E20" i="1"/>
  <c r="L20" i="1" s="1"/>
  <c r="Q20" i="1" s="1"/>
  <c r="C21" i="1"/>
  <c r="S19" i="1"/>
  <c r="V19" i="1" s="1"/>
  <c r="T19" i="1"/>
  <c r="W19" i="1" s="1"/>
  <c r="T20" i="1" l="1"/>
  <c r="W20" i="1" s="1"/>
  <c r="S20" i="1"/>
  <c r="V20" i="1" s="1"/>
  <c r="C22" i="1"/>
  <c r="E21" i="1"/>
  <c r="L21" i="1" s="1"/>
  <c r="Q21" i="1" s="1"/>
  <c r="D24" i="1"/>
  <c r="E22" i="1" l="1"/>
  <c r="L22" i="1" s="1"/>
  <c r="Q22" i="1" s="1"/>
  <c r="C23" i="1"/>
  <c r="S21" i="1"/>
  <c r="V21" i="1" s="1"/>
  <c r="T21" i="1"/>
  <c r="W21" i="1" s="1"/>
  <c r="D25" i="1"/>
  <c r="D26" i="1" l="1"/>
  <c r="E23" i="1"/>
  <c r="L23" i="1" s="1"/>
  <c r="Q23" i="1" s="1"/>
  <c r="C24" i="1"/>
  <c r="S22" i="1"/>
  <c r="V22" i="1" s="1"/>
  <c r="T22" i="1"/>
  <c r="W22" i="1" s="1"/>
  <c r="T23" i="1" l="1"/>
  <c r="W23" i="1" s="1"/>
  <c r="S23" i="1"/>
  <c r="V23" i="1" s="1"/>
  <c r="C25" i="1"/>
  <c r="E24" i="1"/>
  <c r="L24" i="1" s="1"/>
  <c r="Q24" i="1" s="1"/>
  <c r="D27" i="1"/>
  <c r="D28" i="1" l="1"/>
  <c r="S24" i="1"/>
  <c r="V24" i="1" s="1"/>
  <c r="T24" i="1"/>
  <c r="W24" i="1" s="1"/>
  <c r="C26" i="1"/>
  <c r="E25" i="1"/>
  <c r="L25" i="1" s="1"/>
  <c r="Q25" i="1" s="1"/>
  <c r="S25" i="1" l="1"/>
  <c r="V25" i="1" s="1"/>
  <c r="T25" i="1"/>
  <c r="W25" i="1" s="1"/>
  <c r="E26" i="1"/>
  <c r="L26" i="1" s="1"/>
  <c r="Q26" i="1" s="1"/>
  <c r="C27" i="1"/>
  <c r="E27" i="1" l="1"/>
  <c r="C28" i="1"/>
  <c r="T26" i="1"/>
  <c r="W26" i="1" s="1"/>
  <c r="S26" i="1"/>
  <c r="V26" i="1" s="1"/>
  <c r="E28" i="1" l="1"/>
  <c r="L27" i="1"/>
  <c r="Q27" i="1" l="1"/>
  <c r="L28" i="1"/>
  <c r="T27" i="1" l="1"/>
  <c r="S27" i="1"/>
  <c r="Q28" i="1"/>
  <c r="V27" i="1" l="1"/>
  <c r="V28" i="1" s="1"/>
  <c r="S28" i="1"/>
  <c r="W27" i="1"/>
  <c r="W28" i="1" s="1"/>
  <c r="T28" i="1"/>
  <c r="W35" i="1" l="1"/>
  <c r="W34" i="1"/>
  <c r="W32" i="1"/>
  <c r="S35" i="1"/>
  <c r="S34" i="1"/>
  <c r="S32" i="1"/>
  <c r="T34" i="1"/>
  <c r="T32" i="1"/>
  <c r="T35" i="1"/>
  <c r="V35" i="1"/>
  <c r="V32" i="1"/>
  <c r="V34" i="1"/>
</calcChain>
</file>

<file path=xl/sharedStrings.xml><?xml version="1.0" encoding="utf-8"?>
<sst xmlns="http://schemas.openxmlformats.org/spreadsheetml/2006/main" count="306" uniqueCount="266">
  <si>
    <t>Arcata Rail with Trail Connectivity Project - Summary of Cost Benefit Analysis</t>
  </si>
  <si>
    <t>A</t>
  </si>
  <si>
    <t>B</t>
  </si>
  <si>
    <t>C</t>
  </si>
  <si>
    <t>D</t>
  </si>
  <si>
    <t>E</t>
  </si>
  <si>
    <t>F</t>
  </si>
  <si>
    <t>G</t>
  </si>
  <si>
    <t>H</t>
  </si>
  <si>
    <t>I</t>
  </si>
  <si>
    <t>J</t>
  </si>
  <si>
    <t>K</t>
  </si>
  <si>
    <t>L</t>
  </si>
  <si>
    <t>M</t>
  </si>
  <si>
    <t>N</t>
  </si>
  <si>
    <t>O</t>
  </si>
  <si>
    <t>P</t>
  </si>
  <si>
    <t>Q</t>
  </si>
  <si>
    <t>R</t>
  </si>
  <si>
    <t>S</t>
  </si>
  <si>
    <t>T</t>
  </si>
  <si>
    <t>U</t>
  </si>
  <si>
    <t>V</t>
  </si>
  <si>
    <t>W</t>
  </si>
  <si>
    <t>Twenty-Year Project  Span</t>
  </si>
  <si>
    <t>Population Estimates</t>
  </si>
  <si>
    <t>Gas Saved in gallons</t>
  </si>
  <si>
    <t>Cost Savings from Avoided Gas</t>
  </si>
  <si>
    <t>Cost Savings from Avoided Auto Ownership</t>
  </si>
  <si>
    <t>Avoided Greenhouse Gas Emissions (CO2)</t>
  </si>
  <si>
    <t>Value of CO2 Emission Reductions (3% Avg SCC)</t>
  </si>
  <si>
    <t>Value of Emissions Reductions (VOC's, NOx, PM, Sox)</t>
  </si>
  <si>
    <t>Community Health Benefits from Bicyclists Only</t>
  </si>
  <si>
    <t>Community Recreational Benefits</t>
  </si>
  <si>
    <t>Value of Reduced Accidents both Fatalities and Injuries</t>
  </si>
  <si>
    <t>Non-CO2 Benefits (2010$) (D,E,H,I,J,K)</t>
  </si>
  <si>
    <t>Project Construction Cost  (2013$)</t>
  </si>
  <si>
    <t>Maintenance and Operational Cost</t>
  </si>
  <si>
    <t>7% Discounted Direct Project Costs (Construction &amp; O&amp;M with Salvage)</t>
  </si>
  <si>
    <t>3% Discounted Direct Project Costs (Construction &amp; O&amp;M with Salvage)</t>
  </si>
  <si>
    <t>Non-CO2 Undiscounted Net Benefits (L)</t>
  </si>
  <si>
    <t>Project Year</t>
  </si>
  <si>
    <t>7% NPV Non-CO2 Benefits   [Q/1.07^R]</t>
  </si>
  <si>
    <t>3% NPV Non-CO2 Benefits   [Q/1.03^R]</t>
  </si>
  <si>
    <t>NPV CO2 Costs @ 3% Avg SCC  [G/1.03^R]</t>
  </si>
  <si>
    <t>7% NPV Total Benefits [S+U]</t>
  </si>
  <si>
    <t>3% NPV Total Benefits [T+U]</t>
  </si>
  <si>
    <t>2009/2011</t>
  </si>
  <si>
    <t>2012/2013</t>
  </si>
  <si>
    <t>Totals</t>
  </si>
  <si>
    <t>For details on Cost Benefit Analysis and Background Calculations see  http://www.cityofarcata.org/departments/public-works/parks/rail-with-trail</t>
  </si>
  <si>
    <t>Excluding CO2 SCC Adjustment</t>
  </si>
  <si>
    <t>Including CO2 SCC Adjustment</t>
  </si>
  <si>
    <t>B: Population estimates are based on 2010 Census with a 0.35% increase per year based on average from 2000-2010.</t>
  </si>
  <si>
    <t>M: Projected Construction Cost (ith salvage vaalue for steel bridges).  Project costs breakdown is available at:</t>
  </si>
  <si>
    <t>7% Discount</t>
  </si>
  <si>
    <t>3% Discount</t>
  </si>
  <si>
    <t>ARwT Project</t>
  </si>
  <si>
    <t>C:  Gallons of gas is averaged at 20.3mpg using EPA MOBILE6.2 Fuel economy calculation.</t>
  </si>
  <si>
    <t>http://www.cityofarcata.org/departments/public-works/parks/rail-with-trail</t>
  </si>
  <si>
    <t>Net Benefits</t>
  </si>
  <si>
    <t>D: Gas is calculated at $3.90/gallon - current Humboldt County Price is $4.03/gallon.</t>
  </si>
  <si>
    <t>N: Maintenance and Operational Costs are estimated based on current City of Arcata trail and transportation</t>
  </si>
  <si>
    <t>Net Costs</t>
  </si>
  <si>
    <t>E: Arcata households average 11,500 miles/auto with ownership costs of $5,640 annually; miles saved=20.4* gas gallons saved; ~500K+ miles saved annually; ~$0.50/mile ownership cost</t>
  </si>
  <si>
    <t>NPV</t>
  </si>
  <si>
    <t>F: (VMT/passenger vehicle avg. MPG) x CO2 per gallon x (100/95) /1000 = (12,000/20.3) x 8.8 x (100/95)/1000 = 5.48 metric tons CO2e for the average</t>
  </si>
  <si>
    <t>maintenance and management averages</t>
  </si>
  <si>
    <t>B/C</t>
  </si>
  <si>
    <t>passenger vehicle (1.49 metric tons CE)</t>
  </si>
  <si>
    <t>N: Non-CO2 undiscounted Net Benefits</t>
  </si>
  <si>
    <t>G. Value for reduced CO2 emissions are generated using the Recommended Monetized Values listed in the TIGER BCA Resource Guide</t>
  </si>
  <si>
    <t>O: Project Costs Discounted at 7%</t>
  </si>
  <si>
    <t>Page 6 -Social Cost of Carbon</t>
  </si>
  <si>
    <t>P: Project Costs Discounted at 3%</t>
  </si>
  <si>
    <t>H. Values provided for reduced emissions are generated using the Recommended Monetized Values listed in the TIGER BCA Resource Guide Page 5</t>
  </si>
  <si>
    <t>Q: Undiscounted benefits all non-CO2 project benefits</t>
  </si>
  <si>
    <t>I: Annual Health Benefit is conservatively calculated as the number of new bicyclists x $128 (the median value per capita costs savings from physical Appendix E)</t>
  </si>
  <si>
    <t>R: Project Year for Discounting</t>
  </si>
  <si>
    <t>activity of 10 studies per NCHRP Report 552</t>
  </si>
  <si>
    <t>S: Benefits discounted at 7% over 20 years post construction for all non-CO2 project benefits</t>
  </si>
  <si>
    <t>J: Annual Recreational/Commuter Benefit is conservatively calculated at the number of new cyclists (both recreational and commuter) x $10 per day of for commuter use.</t>
  </si>
  <si>
    <t>T: Benefits discounted at3% over 20 years post construction for all non-CO2 project benefits</t>
  </si>
  <si>
    <t>value x 365 days for recreational use and 260 days</t>
  </si>
  <si>
    <t>U: Revised SCC Adjustment</t>
  </si>
  <si>
    <t>K: Value of Statistical Life has been derived from the Treatment of the economic Value of a Statistical Life in Departmental Analyses</t>
  </si>
  <si>
    <t>V: Project Benefit Value at 7% Discount</t>
  </si>
  <si>
    <t>(2008 revised guidance and 2011 update) as  outlined on page 2 of the TIGER BCA Resource Guide</t>
  </si>
  <si>
    <t>W: Project Benefit Value at 3% Discount</t>
  </si>
  <si>
    <t>L: Sum of (D,E,G,H,I,J)</t>
  </si>
  <si>
    <t>Arcata Rail with Trail Connectivity Project - 2013</t>
  </si>
  <si>
    <t>Project Element</t>
  </si>
  <si>
    <t>Total Project Cost</t>
  </si>
  <si>
    <t>Phase I - Funded   Samoa to Western</t>
  </si>
  <si>
    <t>Phase II: Samoa to Bracut Total Project Cost</t>
  </si>
  <si>
    <t>TIGER 2013 Grant Request</t>
  </si>
  <si>
    <t>Non-Federal Match</t>
  </si>
  <si>
    <t>Date of Completion</t>
  </si>
  <si>
    <t>Trail Alignment Alternatives Analysis</t>
  </si>
  <si>
    <t>Project Design Engineering</t>
  </si>
  <si>
    <t>Project Environmental Review (CEQA / NEPA)</t>
  </si>
  <si>
    <t>2011-2013</t>
  </si>
  <si>
    <t>Project Environmental Permitting</t>
  </si>
  <si>
    <t>Project Policy Planning Documents: Operational Plan, Review of compliance with NCRA Rail with Trail Policies</t>
  </si>
  <si>
    <t>Property Acquisition and transfer expenses</t>
  </si>
  <si>
    <t>Project Construction including required project mitigation measures</t>
  </si>
  <si>
    <t>Project Operations and Maintenance for 20 years</t>
  </si>
  <si>
    <t>Total 20 Year Project Cost</t>
  </si>
  <si>
    <t>Net-New</t>
  </si>
  <si>
    <t>Construction Employment</t>
  </si>
  <si>
    <t>Full-Project</t>
  </si>
  <si>
    <t>TIGER</t>
  </si>
  <si>
    <t>(use $76,923 as FTE equiv. Cost)</t>
  </si>
  <si>
    <t>Construction Only Costs</t>
  </si>
  <si>
    <t>Multiplier (13 jobs/$1MM)</t>
  </si>
  <si>
    <t>Jobs</t>
  </si>
  <si>
    <t>Total Value of Fatalities and Accidents</t>
  </si>
  <si>
    <t>Fatal and Injury Accidents</t>
  </si>
  <si>
    <t>(Moderate to Serious Injuries)</t>
  </si>
  <si>
    <t>AIS Rating</t>
  </si>
  <si>
    <t># of Accidents</t>
  </si>
  <si>
    <t>Value of Injury / Fatality</t>
  </si>
  <si>
    <t>Project Value       Reduced Injuries / Fatalities</t>
  </si>
  <si>
    <t>Subtotals</t>
  </si>
  <si>
    <r>
      <t xml:space="preserve">● </t>
    </r>
    <r>
      <rPr>
        <sz val="11"/>
        <color rgb="FF000000"/>
        <rFont val="Garamond"/>
        <family val="1"/>
        <charset val="1"/>
      </rPr>
      <t xml:space="preserve">The City has data from 2007 and 2008 that totals 34 injury accidents within a 1.5 mile buffer of the proposed trail (including 3 fatalities which were all within 10 feet of the proposed trail).  </t>
    </r>
  </si>
  <si>
    <t>● As a conservative estimate we are assuming that there would be a 25% reduction in injury accidents and no more than 1 fatal crash every 4 years.</t>
  </si>
  <si>
    <t>● The values are calculated at 4 injury accidents per year avoided with construction of the trail and .25 fatal accidents per year.</t>
  </si>
  <si>
    <t>● Half of the injury accidents are calculated at an AIS rating of 2 and half are calculated at an AIS rating of 3 and the fatality is calculated at an AIS rating of 6</t>
  </si>
  <si>
    <t>● Value of Statistical Life has been derived from the Treatment of the economic Value of a Statistical Life in Departmental Analyses (2008 revised guidance and 2011 update) as</t>
  </si>
  <si>
    <t>outlined on pages 1-3 of the TIGER BCA Resource Guide 2013 Supplement</t>
  </si>
  <si>
    <t>Trail Use Based on a 1.5 mile residential draw potential</t>
  </si>
  <si>
    <t>Population</t>
  </si>
  <si>
    <t>Percentage of Adults</t>
  </si>
  <si>
    <t>Total Adult Popoulation</t>
  </si>
  <si>
    <t>Total Number of Commuters</t>
  </si>
  <si>
    <t>Number of existing bicycle commuters</t>
  </si>
  <si>
    <t>Number of new bicycle commuters</t>
  </si>
  <si>
    <t>Number of existing pedestrain commuters</t>
  </si>
  <si>
    <t>Total Daily adult cyclists</t>
  </si>
  <si>
    <t>New daily adult cyclists</t>
  </si>
  <si>
    <t>Annual Health Benefit</t>
  </si>
  <si>
    <t>Annual Recreation/ commuter Benefit</t>
  </si>
  <si>
    <t>Population within 400 meters</t>
  </si>
  <si>
    <t>Population within 401- 800 meters</t>
  </si>
  <si>
    <t>Population between 801-1600 meters</t>
  </si>
  <si>
    <t>Population between 1601-2400 meters</t>
  </si>
  <si>
    <t>1. Population is from 2010 census overlayed within the City's GIS mapping System to provide population within 1.5 miles of the project site</t>
  </si>
  <si>
    <t>2. Percentage of adults in the population is from the 2010 census data.</t>
  </si>
  <si>
    <t>3. Total Adult population within 1.5miles of the project site</t>
  </si>
  <si>
    <t>4. Number of Commuters estimated at 50% of adults from National averages provided by NCHRP Report 552 page 38</t>
  </si>
  <si>
    <t>5. Number of existing Bicycle Communters is 5% of the total number of commuters within a 1.5 miles radius of the trail. 5% bicycle commute share is from the 2000 census data - City of Arcata</t>
  </si>
  <si>
    <t>6. Per the NCHRP Report 552, pg 39, the number of new bicycle commuters are estimated to be 1.93, 1.11 and 0.39 times the current values for residents at 400, 800 and 1600 meters respectively.</t>
  </si>
  <si>
    <t>7. Number of existing pedestrian commuters is calculated as 17% of the total commute population based on commute share from 2000 census data</t>
  </si>
  <si>
    <t>8. Total daily adult cyclists is calculated at the moderate rate of (.004 +1.2 x the commute share of 5% x the total adult population)as outlined in the NCHRP Report 552 page 38</t>
  </si>
  <si>
    <t>9. New daily adult cyclists is calculated to be 1.93, 1.11 and 0.39 times the current values for residents living within 400m, 800m and 1600m respecitively. NCHRP Report 552, pg. 39</t>
  </si>
  <si>
    <t>10. Annual Health Benefit is calculated as the number of new bicyclists x $128 (the median value per capita costs savings from physical activty of 10 studies per NCHRP Report 552 Appendix E)</t>
  </si>
  <si>
    <t>11. Annual Recreational/Commuter Benefit is the number of new cyclists (both recreational and commuter) x $10 per day of value x 365 days for recreational use and 260 days for commuter use.</t>
  </si>
  <si>
    <t>Arcata Rail with Trail Connectivity Project</t>
  </si>
  <si>
    <t>Twenty-Year Project Expense Span</t>
  </si>
  <si>
    <t>Maintenance Cost *</t>
  </si>
  <si>
    <t>Management and Security *</t>
  </si>
  <si>
    <t>Project Total</t>
  </si>
  <si>
    <t>* increased annually by 3%</t>
  </si>
  <si>
    <t>The Inflation index for Operations and Maintenance is not included</t>
  </si>
  <si>
    <t>in the Cost/Benefit Analysis since its value is deducted as part of the</t>
  </si>
  <si>
    <t>analysis.  The inflation index is used to understand and plan for</t>
  </si>
  <si>
    <t>annual operation and maintenance cost as an integral part of the success</t>
  </si>
  <si>
    <t>of the project.</t>
  </si>
  <si>
    <t>Vehicle Trips Saved Calculation</t>
  </si>
  <si>
    <t>Total Vehicle Trips per year reduced for commuting to work only: 60,122</t>
  </si>
  <si>
    <t>Round Trip Length in miles</t>
  </si>
  <si>
    <t>Number of Trips</t>
  </si>
  <si>
    <t>Total Miles</t>
  </si>
  <si>
    <t>Total Gas in gallons</t>
  </si>
  <si>
    <t>Total Cost saved through gas reduction</t>
  </si>
  <si>
    <t>Total CO2 Ton Emmissions</t>
  </si>
  <si>
    <t>Value of CO2 Emissions Reductions- 2012</t>
  </si>
  <si>
    <t>Reduced NOx tons</t>
  </si>
  <si>
    <t>Reduced SOx tons</t>
  </si>
  <si>
    <t>Reduced VOC tons</t>
  </si>
  <si>
    <t>Reduced PM10 tons</t>
  </si>
  <si>
    <t>Value of Reduced Nox, Sox, VOC, PM10</t>
  </si>
  <si>
    <t>Total</t>
  </si>
  <si>
    <t>1. Total Number of Trips is based on 289 new commuters x 4 days per week x 52 weeks per year</t>
  </si>
  <si>
    <t>3.  Gallons of gas is averaged at 20.3mpg using EPA MOBILE6.2 Fuel economy calculation</t>
  </si>
  <si>
    <t>4. Cost savings through reduced gas is calculated at $3.90/gallon - current Humboldt County Price is $4.03/gallon</t>
  </si>
  <si>
    <t>5. See below calculation for total CO2 emmissions</t>
  </si>
  <si>
    <t>6. Value for reduced CO2 emissions are generated using the Recommended Monetized Values listed in the TIGER BCA Resource Guide Page 6 -Social Cost of Carbon</t>
  </si>
  <si>
    <t>7-10. NOx, SOx, VOC and PM10 are calculated using ICLEI's emissions calculator software</t>
  </si>
  <si>
    <t>11. Values provided for reduced emissions are generated using the Recommended Monetized Values listed in the TIGER BCA Resource Guide Page 5</t>
  </si>
  <si>
    <t>Reference Note</t>
  </si>
  <si>
    <t>EPA MOBILE6.2 fuel economy numbers</t>
  </si>
  <si>
    <t>Metric tons of CO2e for the average passenger vehicle =</t>
  </si>
  <si>
    <t>(VMT/passenger vehicle avg. MPG) x CO2 per gallon x (100/95) /1000 =</t>
  </si>
  <si>
    <t>(12,000/20.3) x 8.8 x (100/95)/1000 =</t>
  </si>
  <si>
    <t>5.48 metric tons CO2e for the average passenger vehicle (1.49 metric tons CE)</t>
  </si>
  <si>
    <t>NOx, SOx, VOC and PM10 are calculated using ICLEI's emissions calculator software</t>
  </si>
  <si>
    <t>Arcata Rail with Trail Connectivity Project - Estimated Use</t>
  </si>
  <si>
    <t>Estimate of Annual Use *1</t>
  </si>
  <si>
    <t>By Mode of Travel:</t>
  </si>
  <si>
    <t>Walk/Jog</t>
  </si>
  <si>
    <t>Bicycle</t>
  </si>
  <si>
    <t>Rollerblade/Other</t>
  </si>
  <si>
    <t>By Gender:</t>
  </si>
  <si>
    <t>Male</t>
  </si>
  <si>
    <t>Female</t>
  </si>
  <si>
    <t>Means of Travel to Trail:</t>
  </si>
  <si>
    <t>Drive</t>
  </si>
  <si>
    <t>Other</t>
  </si>
  <si>
    <t>Trip Purpose: *2</t>
  </si>
  <si>
    <t>Health</t>
  </si>
  <si>
    <t>Recreation</t>
  </si>
  <si>
    <t>Commuting</t>
  </si>
  <si>
    <t>Economic Benefits:</t>
  </si>
  <si>
    <t>Health Benefits:</t>
  </si>
  <si>
    <t>Transportation Benefits (saved VT/yr):</t>
  </si>
  <si>
    <r>
      <t xml:space="preserve">*1 </t>
    </r>
    <r>
      <rPr>
        <sz val="12"/>
        <color rgb="FF363435"/>
        <rFont val="Garamond"/>
        <family val="1"/>
        <charset val="1"/>
      </rPr>
      <t>Based on counts on over 30 trails nationwide; calibrated for local environment, trail length, surrounding land use, population, density, climate, number of visitors, aesthetics, and other factors. Includes all trips on the trail, many of which may be for short distances.</t>
    </r>
  </si>
  <si>
    <r>
      <t xml:space="preserve">*2 </t>
    </r>
    <r>
      <rPr>
        <sz val="12"/>
        <color rgb="FF363435"/>
        <rFont val="Garamond"/>
        <family val="1"/>
        <charset val="1"/>
      </rPr>
      <t>Adds to more than 100%, since users cited more than one trip purpose.</t>
    </r>
  </si>
  <si>
    <t>Construction Cost Summary</t>
  </si>
  <si>
    <t>Item</t>
  </si>
  <si>
    <t>Units</t>
  </si>
  <si>
    <t>Unit Cost</t>
  </si>
  <si>
    <t>Quantity Phase I</t>
  </si>
  <si>
    <t>Cost Phase I</t>
  </si>
  <si>
    <t>Quantity Phase II</t>
  </si>
  <si>
    <t>Cost Phase II</t>
  </si>
  <si>
    <t>Total</t>
  </si>
  <si>
    <t>Mobilization and Demobilization</t>
  </si>
  <si>
    <t>LS</t>
  </si>
  <si>
    <t>Construction Area Signs</t>
  </si>
  <si>
    <t>EA</t>
  </si>
  <si>
    <t>Traffic Control</t>
  </si>
  <si>
    <t>Water Pollution Control</t>
  </si>
  <si>
    <t>Sub grade Replacement</t>
  </si>
  <si>
    <t>CY</t>
  </si>
  <si>
    <t>Control of Water</t>
  </si>
  <si>
    <t>Clearing and Grubbing</t>
  </si>
  <si>
    <t>Temporary Shoring and Trench Safety</t>
  </si>
  <si>
    <t>Adjust Utility Cover to Grade</t>
  </si>
  <si>
    <t>Adjust Existing Manhole Cover to Grade</t>
  </si>
  <si>
    <t>Type of GI Drainage Inlet</t>
  </si>
  <si>
    <t>6'-24" storm drain pipe</t>
  </si>
  <si>
    <t>LF</t>
  </si>
  <si>
    <t>Replace Asphalt Concrete Surfacing</t>
  </si>
  <si>
    <t>Excavation and Grading</t>
  </si>
  <si>
    <t>Embankment /Imported Borrow</t>
  </si>
  <si>
    <t>Grade Drainage Swale</t>
  </si>
  <si>
    <t>Class II Aggregate Base</t>
  </si>
  <si>
    <t>RSP (1/4 ton)</t>
  </si>
  <si>
    <t>Ton</t>
  </si>
  <si>
    <t>Segmental Block Retaining Wall</t>
  </si>
  <si>
    <t>SF</t>
  </si>
  <si>
    <t>Asphalt Concrete</t>
  </si>
  <si>
    <t>Concrete Curb / gutter</t>
  </si>
  <si>
    <t>Minor Concrete (sidewalk, ramps)</t>
  </si>
  <si>
    <t>Cast in Concrete Footings</t>
  </si>
  <si>
    <t>Concrete Structures</t>
  </si>
  <si>
    <t>Steel Bridges</t>
  </si>
  <si>
    <t>Concrete Bridge Decking</t>
  </si>
  <si>
    <t>Wood Rail Fence</t>
  </si>
  <si>
    <t>Chain Link Fence</t>
  </si>
  <si>
    <t>Guard Rail Detectable Warning Systems (Truncated Doms)</t>
  </si>
  <si>
    <t>Thermoplastic and signs (road, way finding, interpretative)</t>
  </si>
  <si>
    <t>Relocate Street Lights</t>
  </si>
  <si>
    <t>Mitigation and avoidance measures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</si>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</sst>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00"/>
    <numFmt numFmtId="166" formatCode="[$$-409]#,##0;[Red]\-[$$-409]#,##0"/>
    <numFmt numFmtId="167" formatCode="0.0"/>
    <numFmt numFmtId="168" formatCode="\$#,##0_);[Red]&quot;($&quot;#,##0\)"/>
  </numFmts>
  <fonts count="13" x14ac:knownFonts="1">
    <font>
      <sz val="11"/>
      <color rgb="FF000000"/>
      <name val="Calibri"/>
      <family val="2"/>
      <charset val="1"/>
    </font>
    <font>
      <sz val="10"/>
      <name val="Calibri"/>
      <family val="2"/>
      <charset val="1"/>
    </font>
    <font>
      <sz val="12"/>
      <color rgb="FF000000"/>
      <name val="Garamond"/>
      <family val="1"/>
      <charset val="1"/>
    </font>
    <font>
      <sz val="12"/>
      <color rgb="FF000000"/>
      <name val="Calibri"/>
      <family val="2"/>
      <charset val="1"/>
    </font>
    <font>
      <sz val="12"/>
      <color rgb="FF000000"/>
      <name val="Calibri"/>
      <family val="2"/>
    </font>
    <font>
      <b/>
      <sz val="12"/>
      <color rgb="FF000000"/>
      <name val="Calibri"/>
      <family val="2"/>
      <charset val="1"/>
    </font>
    <font>
      <sz val="11"/>
      <color rgb="FF000000"/>
      <name val="Garamond"/>
      <family val="1"/>
      <charset val="1"/>
    </font>
    <font>
      <b/>
      <sz val="11"/>
      <color rgb="FF000000"/>
      <name val="Calibri"/>
      <family val="2"/>
      <charset val="1"/>
    </font>
    <font>
      <b/>
      <sz val="12"/>
      <color rgb="FF363435"/>
      <name val="Calibri"/>
      <family val="2"/>
      <charset val="1"/>
    </font>
    <font>
      <sz val="12"/>
      <color rgb="FF363435"/>
      <name val="Calibri"/>
      <family val="2"/>
      <charset val="1"/>
    </font>
    <font>
      <i/>
      <sz val="12"/>
      <color rgb="FF363435"/>
      <name val="Calibri"/>
      <family val="2"/>
      <charset val="1"/>
    </font>
    <font>
      <sz val="12"/>
      <color rgb="FF363435"/>
      <name val="Garamond"/>
      <family val="1"/>
      <charset val="1"/>
    </font>
    <font>
      <b/>
      <sz val="12"/>
      <color rgb="FF000000"/>
      <name val="Calibri"/>
      <family val="2"/>
    </font>
  </fonts>
  <fills count="4">
    <fill>
      <patternFill patternType="none"/>
    </fill>
    <fill>
      <patternFill patternType="gray125"/>
    </fill>
    <fill>
      <patternFill patternType="solid">
        <fgColor rgb="FFEBF1DE"/>
        <bgColor rgb="FFEAF1DD"/>
      </patternFill>
    </fill>
    <fill>
      <patternFill patternType="solid">
        <fgColor rgb="FFEAF1DD"/>
        <bgColor rgb="FFEBF1DE"/>
      </patternFill>
    </fill>
  </fills>
  <borders count="63">
    <border>
      <left/>
      <right/>
      <top/>
      <bottom/>
      <diagonal/>
    </border>
    <border>
      <left/>
      <right/>
      <top/>
      <bottom style="thick">
        <color rgb="FF4F6228"/>
      </bottom>
      <diagonal/>
    </border>
    <border>
      <left style="thick">
        <color rgb="FF4F6228"/>
      </left>
      <right style="thick">
        <color rgb="FF77933C"/>
      </right>
      <top style="thick">
        <color rgb="FF4F6228"/>
      </top>
      <bottom style="thick">
        <color rgb="FF77933C"/>
      </bottom>
      <diagonal/>
    </border>
    <border>
      <left style="thick">
        <color rgb="FF77933C"/>
      </left>
      <right style="thick">
        <color rgb="FF77933C"/>
      </right>
      <top style="thick">
        <color rgb="FF4F6228"/>
      </top>
      <bottom style="thick">
        <color rgb="FF77933C"/>
      </bottom>
      <diagonal/>
    </border>
    <border>
      <left style="thick">
        <color rgb="FF4F6228"/>
      </left>
      <right style="thick">
        <color rgb="FF77933C"/>
      </right>
      <top style="thick">
        <color rgb="FF77933C"/>
      </top>
      <bottom style="thick">
        <color rgb="FF4F6228"/>
      </bottom>
      <diagonal/>
    </border>
    <border>
      <left style="thick">
        <color rgb="FF77933C"/>
      </left>
      <right style="thick">
        <color rgb="FF77933C"/>
      </right>
      <top style="thick">
        <color rgb="FF77933C"/>
      </top>
      <bottom style="thick">
        <color rgb="FF4F6228"/>
      </bottom>
      <diagonal/>
    </border>
    <border>
      <left style="thick">
        <color rgb="FF77933C"/>
      </left>
      <right style="thick">
        <color rgb="FF4F6228"/>
      </right>
      <top style="thick">
        <color rgb="FF77933C"/>
      </top>
      <bottom style="thick">
        <color rgb="FF4F6228"/>
      </bottom>
      <diagonal/>
    </border>
    <border>
      <left style="thick">
        <color rgb="FF4F6228"/>
      </left>
      <right style="thick">
        <color rgb="FF77933C"/>
      </right>
      <top/>
      <bottom style="thick">
        <color rgb="FF77933C"/>
      </bottom>
      <diagonal/>
    </border>
    <border>
      <left/>
      <right style="thick">
        <color rgb="FF77933C"/>
      </right>
      <top/>
      <bottom style="thick">
        <color rgb="FF77933C"/>
      </bottom>
      <diagonal/>
    </border>
    <border>
      <left style="thick">
        <color rgb="FF77933C"/>
      </left>
      <right style="thick">
        <color rgb="FF77933C"/>
      </right>
      <top/>
      <bottom style="thick">
        <color rgb="FF77933C"/>
      </bottom>
      <diagonal/>
    </border>
    <border>
      <left style="thick">
        <color rgb="FF77933C"/>
      </left>
      <right/>
      <top/>
      <bottom style="thick">
        <color rgb="FF77933C"/>
      </bottom>
      <diagonal/>
    </border>
    <border>
      <left style="thick">
        <color rgb="FF4F6228"/>
      </left>
      <right style="thick">
        <color rgb="FF4F6228"/>
      </right>
      <top style="thick">
        <color rgb="FF4F6228"/>
      </top>
      <bottom style="thick">
        <color rgb="FF4F6228"/>
      </bottom>
      <diagonal/>
    </border>
    <border>
      <left style="thick">
        <color rgb="FF4F6228"/>
      </left>
      <right style="thick">
        <color rgb="FF77933C"/>
      </right>
      <top style="thick">
        <color rgb="FF77933C"/>
      </top>
      <bottom style="thick">
        <color rgb="FF77933C"/>
      </bottom>
      <diagonal/>
    </border>
    <border>
      <left/>
      <right style="thick">
        <color rgb="FF77933C"/>
      </right>
      <top style="thick">
        <color rgb="FF77933C"/>
      </top>
      <bottom style="thick">
        <color rgb="FF77933C"/>
      </bottom>
      <diagonal/>
    </border>
    <border>
      <left style="thick">
        <color rgb="FF77933C"/>
      </left>
      <right style="thick">
        <color rgb="FF77933C"/>
      </right>
      <top style="thick">
        <color rgb="FF77933C"/>
      </top>
      <bottom style="thick">
        <color rgb="FF77933C"/>
      </bottom>
      <diagonal/>
    </border>
    <border>
      <left style="thick">
        <color rgb="FF4F6228"/>
      </left>
      <right style="thick">
        <color rgb="FF77933C"/>
      </right>
      <top style="thick">
        <color rgb="FF77933C"/>
      </top>
      <bottom/>
      <diagonal/>
    </border>
    <border>
      <left style="thick">
        <color rgb="FF77933C"/>
      </left>
      <right style="thick">
        <color rgb="FF77933C"/>
      </right>
      <top style="thick">
        <color rgb="FF77933C"/>
      </top>
      <bottom/>
      <diagonal/>
    </border>
    <border>
      <left style="thick">
        <color rgb="FF4F6228"/>
      </left>
      <right/>
      <top style="thick">
        <color rgb="FF4F6228"/>
      </top>
      <bottom style="thick">
        <color rgb="FF4F6228"/>
      </bottom>
      <diagonal/>
    </border>
    <border>
      <left/>
      <right/>
      <top style="thick">
        <color rgb="FF4F6228"/>
      </top>
      <bottom style="thick">
        <color rgb="FF4F6228"/>
      </bottom>
      <diagonal/>
    </border>
    <border>
      <left/>
      <right style="thick">
        <color rgb="FF4F6228"/>
      </right>
      <top style="thick">
        <color rgb="FF4F6228"/>
      </top>
      <bottom style="thick">
        <color rgb="FF4F6228"/>
      </bottom>
      <diagonal/>
    </border>
    <border>
      <left/>
      <right/>
      <top style="thick">
        <color rgb="FFD7E4BD"/>
      </top>
      <bottom style="thick">
        <color rgb="FFD7E4BD"/>
      </bottom>
      <diagonal/>
    </border>
    <border>
      <left style="thick">
        <color rgb="FF4F6228"/>
      </left>
      <right style="thick">
        <color auto="1"/>
      </right>
      <top style="thick">
        <color auto="1"/>
      </top>
      <bottom style="thick">
        <color rgb="FF4F6228"/>
      </bottom>
      <diagonal/>
    </border>
    <border>
      <left style="thick">
        <color auto="1"/>
      </left>
      <right style="thick">
        <color auto="1"/>
      </right>
      <top style="thick">
        <color auto="1"/>
      </top>
      <bottom/>
      <diagonal/>
    </border>
    <border>
      <left style="thick">
        <color auto="1"/>
      </left>
      <right style="thick">
        <color auto="1"/>
      </right>
      <top/>
      <bottom style="thick">
        <color rgb="FF77933C"/>
      </bottom>
      <diagonal/>
    </border>
    <border>
      <left style="thick">
        <color auto="1"/>
      </left>
      <right style="thick">
        <color rgb="FF77933C"/>
      </right>
      <top style="thick">
        <color rgb="FF77933C"/>
      </top>
      <bottom style="thick">
        <color rgb="FF4F6228"/>
      </bottom>
      <diagonal/>
    </border>
    <border>
      <left style="thick">
        <color rgb="FF77933C"/>
      </left>
      <right style="thick">
        <color auto="1"/>
      </right>
      <top style="thick">
        <color rgb="FF77933C"/>
      </top>
      <bottom style="thick">
        <color rgb="FF4F6228"/>
      </bottom>
      <diagonal/>
    </border>
    <border>
      <left style="thick">
        <color auto="1"/>
      </left>
      <right/>
      <top/>
      <bottom style="thick">
        <color rgb="FF77933C"/>
      </bottom>
      <diagonal/>
    </border>
    <border>
      <left style="thick">
        <color rgb="FF4F6228"/>
      </left>
      <right style="thick">
        <color auto="1"/>
      </right>
      <top style="thick">
        <color rgb="FF4F6228"/>
      </top>
      <bottom style="thick">
        <color rgb="FF4F6228"/>
      </bottom>
      <diagonal/>
    </border>
    <border>
      <left style="thick">
        <color auto="1"/>
      </left>
      <right/>
      <top style="thick">
        <color rgb="FF77933C"/>
      </top>
      <bottom style="thick">
        <color rgb="FF77933C"/>
      </bottom>
      <diagonal/>
    </border>
    <border>
      <left style="thick">
        <color auto="1"/>
      </left>
      <right style="thick">
        <color rgb="FF4F6228"/>
      </right>
      <top style="thick">
        <color rgb="FF77933C"/>
      </top>
      <bottom style="thick">
        <color rgb="FF77933C"/>
      </bottom>
      <diagonal/>
    </border>
    <border>
      <left style="thick">
        <color auto="1"/>
      </left>
      <right style="thick">
        <color rgb="FF4F6228"/>
      </right>
      <top style="thick">
        <color rgb="FF77933C"/>
      </top>
      <bottom/>
      <diagonal/>
    </border>
    <border>
      <left style="thick">
        <color rgb="FF4F6228"/>
      </left>
      <right style="thick">
        <color rgb="FF4F6228"/>
      </right>
      <top style="thick">
        <color rgb="FF4F6228"/>
      </top>
      <bottom/>
      <diagonal/>
    </border>
    <border>
      <left/>
      <right/>
      <top/>
      <bottom style="thick">
        <color rgb="FFD7E4BD"/>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rgb="FF77933C"/>
      </left>
      <right style="thick">
        <color rgb="FF4F6228"/>
      </right>
      <top style="thick">
        <color rgb="FF4F6228"/>
      </top>
      <bottom style="thick">
        <color rgb="FF77933C"/>
      </bottom>
      <diagonal/>
    </border>
    <border>
      <left style="thick">
        <color rgb="FF77933C"/>
      </left>
      <right style="thick">
        <color rgb="FF4F6228"/>
      </right>
      <top/>
      <bottom style="thick">
        <color rgb="FF77933C"/>
      </bottom>
      <diagonal/>
    </border>
    <border>
      <left style="thick">
        <color auto="1"/>
      </left>
      <right style="thick">
        <color rgb="FF4F6228"/>
      </right>
      <top style="thick">
        <color auto="1"/>
      </top>
      <bottom style="thick">
        <color rgb="FF4F6228"/>
      </bottom>
      <diagonal/>
    </border>
    <border>
      <left style="thick">
        <color rgb="FF4F6228"/>
      </left>
      <right style="thick">
        <color rgb="FF4F6228"/>
      </right>
      <top style="thick">
        <color auto="1"/>
      </top>
      <bottom style="thick">
        <color rgb="FF4F6228"/>
      </bottom>
      <diagonal/>
    </border>
    <border>
      <left style="thick">
        <color auto="1"/>
      </left>
      <right style="thick">
        <color rgb="FF4F6228"/>
      </right>
      <top style="thick">
        <color rgb="FF4F6228"/>
      </top>
      <bottom style="thick">
        <color rgb="FF4F6228"/>
      </bottom>
      <diagonal/>
    </border>
    <border>
      <left style="thick">
        <color auto="1"/>
      </left>
      <right style="thick">
        <color rgb="FF4F6228"/>
      </right>
      <top style="thick">
        <color rgb="FF4F6228"/>
      </top>
      <bottom/>
      <diagonal/>
    </border>
    <border>
      <left style="thick">
        <color auto="1"/>
      </left>
      <right style="thick">
        <color rgb="FF4F6228"/>
      </right>
      <top style="thick">
        <color rgb="FF4F6228"/>
      </top>
      <bottom style="thick">
        <color auto="1"/>
      </bottom>
      <diagonal/>
    </border>
    <border>
      <left style="thick">
        <color rgb="FF4F6228"/>
      </left>
      <right style="thick">
        <color rgb="FF4F6228"/>
      </right>
      <top style="thick">
        <color rgb="FF4F6228"/>
      </top>
      <bottom style="thick">
        <color auto="1"/>
      </bottom>
      <diagonal/>
    </border>
    <border>
      <left style="thick">
        <color rgb="FF4F6228"/>
      </left>
      <right style="thick">
        <color auto="1"/>
      </right>
      <top style="thick">
        <color rgb="FF4F6228"/>
      </top>
      <bottom style="thick">
        <color auto="1"/>
      </bottom>
      <diagonal/>
    </border>
    <border>
      <left style="thick">
        <color rgb="FF77933C"/>
      </left>
      <right style="thick">
        <color rgb="FF4F6228"/>
      </right>
      <top style="thick">
        <color rgb="FF77933C"/>
      </top>
      <bottom style="thick">
        <color rgb="FF77933C"/>
      </bottom>
      <diagonal/>
    </border>
    <border>
      <left/>
      <right/>
      <top style="thick">
        <color rgb="FF4F6228"/>
      </top>
      <bottom/>
      <diagonal/>
    </border>
    <border>
      <left style="thick">
        <color rgb="FF4F6228"/>
      </left>
      <right style="thick">
        <color rgb="FFD7E4BD"/>
      </right>
      <top style="thick">
        <color rgb="FF4F6228"/>
      </top>
      <bottom/>
      <diagonal/>
    </border>
    <border>
      <left style="thick">
        <color rgb="FFD7E4BD"/>
      </left>
      <right style="thick">
        <color rgb="FFD7E4BD"/>
      </right>
      <top style="thick">
        <color rgb="FF4F6228"/>
      </top>
      <bottom style="thick">
        <color rgb="FF4F6228"/>
      </bottom>
      <diagonal/>
    </border>
    <border>
      <left style="thick">
        <color rgb="FFD7E4BD"/>
      </left>
      <right style="thick">
        <color rgb="FF4F6228"/>
      </right>
      <top style="thick">
        <color rgb="FF4F6228"/>
      </top>
      <bottom style="thick">
        <color rgb="FF4F6228"/>
      </bottom>
      <diagonal/>
    </border>
    <border>
      <left style="thick">
        <color rgb="FF4F6228"/>
      </left>
      <right style="thick">
        <color rgb="FF4F6228"/>
      </right>
      <top style="thick">
        <color rgb="FF4F6228"/>
      </top>
      <bottom style="thick">
        <color rgb="FFD7E4BD"/>
      </bottom>
      <diagonal/>
    </border>
    <border>
      <left/>
      <right style="thick">
        <color rgb="FFD7E4BD"/>
      </right>
      <top/>
      <bottom style="thick">
        <color rgb="FFD7E4BD"/>
      </bottom>
      <diagonal/>
    </border>
    <border>
      <left style="thick">
        <color rgb="FFD7E4BD"/>
      </left>
      <right style="thick">
        <color rgb="FFD7E4BD"/>
      </right>
      <top/>
      <bottom style="thick">
        <color rgb="FFD7E4BD"/>
      </bottom>
      <diagonal/>
    </border>
    <border>
      <left style="thick">
        <color rgb="FFD7E4BD"/>
      </left>
      <right style="thick">
        <color rgb="FF4F6228"/>
      </right>
      <top/>
      <bottom style="thick">
        <color rgb="FFD7E4BD"/>
      </bottom>
      <diagonal/>
    </border>
    <border>
      <left style="thick">
        <color rgb="FF4F6228"/>
      </left>
      <right style="thick">
        <color rgb="FF4F6228"/>
      </right>
      <top style="thick">
        <color rgb="FFD7E4BD"/>
      </top>
      <bottom style="thick">
        <color rgb="FFD7E4BD"/>
      </bottom>
      <diagonal/>
    </border>
    <border>
      <left/>
      <right style="thick">
        <color rgb="FFD7E4BD"/>
      </right>
      <top style="thick">
        <color rgb="FFD7E4BD"/>
      </top>
      <bottom style="thick">
        <color rgb="FFD7E4BD"/>
      </bottom>
      <diagonal/>
    </border>
    <border>
      <left style="thick">
        <color rgb="FFD7E4BD"/>
      </left>
      <right style="thick">
        <color rgb="FFD7E4BD"/>
      </right>
      <top style="thick">
        <color rgb="FFD7E4BD"/>
      </top>
      <bottom style="thick">
        <color rgb="FFD7E4BD"/>
      </bottom>
      <diagonal/>
    </border>
    <border>
      <left style="thick">
        <color rgb="FFD7E4BD"/>
      </left>
      <right style="thick">
        <color rgb="FF4F6228"/>
      </right>
      <top style="thick">
        <color rgb="FFD7E4BD"/>
      </top>
      <bottom style="thick">
        <color rgb="FFD7E4BD"/>
      </bottom>
      <diagonal/>
    </border>
    <border>
      <left/>
      <right style="thick">
        <color rgb="FFD7E4BD"/>
      </right>
      <top style="thick">
        <color rgb="FFD7E4BD"/>
      </top>
      <bottom style="thick">
        <color rgb="FF4F6228"/>
      </bottom>
      <diagonal/>
    </border>
    <border>
      <left style="thick">
        <color rgb="FFD7E4BD"/>
      </left>
      <right style="thick">
        <color rgb="FFD7E4BD"/>
      </right>
      <top style="thick">
        <color rgb="FFD7E4BD"/>
      </top>
      <bottom style="thick">
        <color rgb="FF4F6228"/>
      </bottom>
      <diagonal/>
    </border>
    <border>
      <left style="thick">
        <color rgb="FFD7E4BD"/>
      </left>
      <right style="thick">
        <color rgb="FF4F6228"/>
      </right>
      <top style="thick">
        <color rgb="FFD7E4BD"/>
      </top>
      <bottom style="thick">
        <color rgb="FF4F6228"/>
      </bottom>
      <diagonal/>
    </border>
    <border>
      <left style="thick">
        <color rgb="FF4F6228"/>
      </left>
      <right/>
      <top style="thick">
        <color rgb="FFD7E4BD"/>
      </top>
      <bottom style="thick">
        <color rgb="FF4F6228"/>
      </bottom>
      <diagonal/>
    </border>
    <border>
      <left style="thick">
        <color rgb="FF4F6228"/>
      </left>
      <right style="thick">
        <color rgb="FFD7E4BD"/>
      </right>
      <top style="thick">
        <color rgb="FF4F6228"/>
      </top>
      <bottom style="thick">
        <color rgb="FF4F622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2">
    <xf numFmtId="0" fontId="0" fillId="0" borderId="0" xfId="0"/>
    <xf numFmtId="0" fontId="10" fillId="0" borderId="0" xfId="0" applyFont="1" applyBorder="1" applyAlignment="1">
      <alignment horizontal="left" vertical="top" wrapText="1"/>
    </xf>
    <xf numFmtId="0" fontId="10" fillId="0" borderId="45" xfId="0" applyFont="1" applyBorder="1" applyAlignment="1">
      <alignment vertical="top" wrapText="1"/>
    </xf>
    <xf numFmtId="164" fontId="5" fillId="0" borderId="27" xfId="0" applyNumberFormat="1" applyFont="1" applyBorder="1" applyAlignment="1">
      <alignment horizontal="center"/>
    </xf>
    <xf numFmtId="0" fontId="0" fillId="2" borderId="23" xfId="0" applyFont="1" applyFill="1" applyBorder="1" applyAlignment="1">
      <alignment horizontal="center" wrapText="1"/>
    </xf>
    <xf numFmtId="0" fontId="0" fillId="2" borderId="22" xfId="0" applyFont="1" applyFill="1" applyBorder="1" applyAlignment="1">
      <alignment horizontal="center" wrapText="1"/>
    </xf>
    <xf numFmtId="0" fontId="3" fillId="0" borderId="1" xfId="0" applyFont="1" applyBorder="1" applyAlignment="1">
      <alignment horizontal="center"/>
    </xf>
    <xf numFmtId="0" fontId="2" fillId="0" borderId="0" xfId="0" applyFont="1"/>
    <xf numFmtId="164" fontId="2" fillId="0" borderId="0" xfId="0" applyNumberFormat="1" applyFont="1"/>
    <xf numFmtId="165" fontId="2" fillId="0" borderId="0" xfId="0" applyNumberFormat="1" applyFont="1"/>
    <xf numFmtId="1" fontId="3" fillId="2" borderId="2" xfId="0" applyNumberFormat="1" applyFont="1" applyFill="1" applyBorder="1" applyAlignment="1">
      <alignment horizontal="center"/>
    </xf>
    <xf numFmtId="1"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1" fontId="3" fillId="0" borderId="0" xfId="0" applyNumberFormat="1" applyFont="1" applyAlignment="1">
      <alignment horizontal="center"/>
    </xf>
    <xf numFmtId="0" fontId="3" fillId="2" borderId="4" xfId="0" applyFont="1" applyFill="1" applyBorder="1" applyAlignment="1">
      <alignment wrapText="1"/>
    </xf>
    <xf numFmtId="0" fontId="3" fillId="2" borderId="5" xfId="0" applyFont="1" applyFill="1" applyBorder="1" applyAlignment="1">
      <alignment wrapText="1"/>
    </xf>
    <xf numFmtId="164" fontId="3" fillId="2" borderId="5" xfId="0" applyNumberFormat="1" applyFont="1" applyFill="1" applyBorder="1" applyAlignment="1">
      <alignment wrapText="1"/>
    </xf>
    <xf numFmtId="164" fontId="3" fillId="2" borderId="6" xfId="0" applyNumberFormat="1" applyFont="1" applyFill="1" applyBorder="1" applyAlignment="1">
      <alignment wrapText="1"/>
    </xf>
    <xf numFmtId="165" fontId="3" fillId="2" borderId="6" xfId="0" applyNumberFormat="1" applyFont="1" applyFill="1" applyBorder="1" applyAlignment="1">
      <alignment wrapText="1"/>
    </xf>
    <xf numFmtId="0" fontId="3" fillId="2" borderId="7" xfId="0" applyFont="1" applyFill="1" applyBorder="1" applyAlignment="1">
      <alignment horizontal="right" wrapText="1"/>
    </xf>
    <xf numFmtId="3" fontId="3" fillId="0" borderId="8" xfId="0" applyNumberFormat="1" applyFont="1" applyBorder="1" applyAlignment="1">
      <alignment horizontal="right" wrapText="1"/>
    </xf>
    <xf numFmtId="3" fontId="3" fillId="0" borderId="9" xfId="0" applyNumberFormat="1" applyFont="1" applyBorder="1" applyAlignment="1">
      <alignment wrapText="1"/>
    </xf>
    <xf numFmtId="164" fontId="3" fillId="0" borderId="9" xfId="0" applyNumberFormat="1" applyFont="1" applyBorder="1" applyAlignment="1">
      <alignment wrapText="1"/>
    </xf>
    <xf numFmtId="0" fontId="3" fillId="0" borderId="9" xfId="0" applyFont="1" applyBorder="1" applyAlignment="1">
      <alignment wrapText="1"/>
    </xf>
    <xf numFmtId="164" fontId="4" fillId="0" borderId="9" xfId="0" applyNumberFormat="1" applyFont="1" applyBorder="1" applyAlignment="1">
      <alignment wrapText="1"/>
    </xf>
    <xf numFmtId="164" fontId="3" fillId="0" borderId="10" xfId="0" applyNumberFormat="1" applyFont="1" applyBorder="1"/>
    <xf numFmtId="3" fontId="3" fillId="0" borderId="11" xfId="0" applyNumberFormat="1" applyFont="1" applyBorder="1"/>
    <xf numFmtId="164" fontId="3" fillId="0" borderId="11" xfId="0" applyNumberFormat="1" applyFont="1" applyBorder="1"/>
    <xf numFmtId="165" fontId="3" fillId="0" borderId="11" xfId="0" applyNumberFormat="1" applyFont="1" applyBorder="1"/>
    <xf numFmtId="0" fontId="3" fillId="2" borderId="12" xfId="0" applyFont="1" applyFill="1" applyBorder="1" applyAlignment="1">
      <alignment horizontal="right" wrapText="1"/>
    </xf>
    <xf numFmtId="3" fontId="3" fillId="0" borderId="13" xfId="0" applyNumberFormat="1" applyFont="1" applyBorder="1" applyAlignment="1">
      <alignment wrapText="1"/>
    </xf>
    <xf numFmtId="3" fontId="3" fillId="0" borderId="14" xfId="0" applyNumberFormat="1" applyFont="1" applyBorder="1" applyAlignment="1">
      <alignment wrapText="1"/>
    </xf>
    <xf numFmtId="164" fontId="3" fillId="0" borderId="14" xfId="0" applyNumberFormat="1" applyFont="1" applyBorder="1" applyAlignment="1">
      <alignment wrapText="1"/>
    </xf>
    <xf numFmtId="0" fontId="3" fillId="0" borderId="14" xfId="0" applyFont="1" applyBorder="1" applyAlignment="1">
      <alignment wrapText="1"/>
    </xf>
    <xf numFmtId="0" fontId="3" fillId="2" borderId="12" xfId="0" applyFont="1" applyFill="1" applyBorder="1" applyAlignment="1">
      <alignment wrapText="1"/>
    </xf>
    <xf numFmtId="164" fontId="3" fillId="0" borderId="14" xfId="0" applyNumberFormat="1" applyFont="1" applyBorder="1"/>
    <xf numFmtId="2" fontId="3" fillId="0" borderId="14" xfId="0" applyNumberFormat="1" applyFont="1" applyBorder="1" applyAlignment="1">
      <alignment wrapText="1"/>
    </xf>
    <xf numFmtId="0" fontId="3" fillId="2" borderId="15" xfId="0" applyFont="1" applyFill="1" applyBorder="1" applyAlignment="1">
      <alignment wrapText="1"/>
    </xf>
    <xf numFmtId="164" fontId="3" fillId="0" borderId="16" xfId="0" applyNumberFormat="1" applyFont="1" applyBorder="1" applyAlignment="1">
      <alignment wrapText="1"/>
    </xf>
    <xf numFmtId="0" fontId="5" fillId="2" borderId="4" xfId="0" applyFont="1" applyFill="1" applyBorder="1" applyAlignment="1">
      <alignment wrapText="1"/>
    </xf>
    <xf numFmtId="3" fontId="5" fillId="2" borderId="5" xfId="0" applyNumberFormat="1" applyFont="1" applyFill="1" applyBorder="1" applyAlignment="1">
      <alignment wrapText="1"/>
    </xf>
    <xf numFmtId="164" fontId="5" fillId="2" borderId="5" xfId="0" applyNumberFormat="1" applyFont="1" applyFill="1" applyBorder="1" applyAlignment="1">
      <alignment wrapText="1"/>
    </xf>
    <xf numFmtId="164" fontId="5" fillId="2" borderId="5" xfId="0" applyNumberFormat="1" applyFont="1" applyFill="1" applyBorder="1" applyAlignment="1">
      <alignment horizontal="right" wrapText="1"/>
    </xf>
    <xf numFmtId="0" fontId="5" fillId="0" borderId="17" xfId="0" applyFont="1" applyBorder="1" applyAlignment="1">
      <alignment horizontal="left"/>
    </xf>
    <xf numFmtId="3" fontId="5" fillId="0" borderId="18" xfId="0" applyNumberFormat="1" applyFont="1" applyBorder="1" applyAlignment="1">
      <alignment horizontal="left"/>
    </xf>
    <xf numFmtId="164" fontId="5" fillId="0" borderId="18" xfId="0" applyNumberFormat="1" applyFont="1" applyBorder="1" applyAlignment="1">
      <alignment horizontal="left"/>
    </xf>
    <xf numFmtId="164" fontId="5" fillId="0" borderId="11" xfId="0" applyNumberFormat="1" applyFont="1" applyBorder="1" applyAlignment="1">
      <alignment horizontal="left"/>
    </xf>
    <xf numFmtId="0" fontId="5" fillId="0" borderId="11" xfId="0" applyFont="1" applyBorder="1" applyAlignment="1"/>
    <xf numFmtId="165" fontId="5" fillId="0" borderId="11" xfId="0" applyNumberFormat="1" applyFont="1" applyBorder="1" applyAlignment="1"/>
    <xf numFmtId="0" fontId="5" fillId="0" borderId="0" xfId="0" applyFont="1" applyAlignment="1"/>
    <xf numFmtId="0" fontId="5" fillId="0" borderId="0" xfId="0" applyFont="1" applyBorder="1" applyAlignment="1">
      <alignment horizontal="left"/>
    </xf>
    <xf numFmtId="3" fontId="5" fillId="0" borderId="0" xfId="0" applyNumberFormat="1" applyFont="1" applyBorder="1" applyAlignment="1">
      <alignment horizontal="left"/>
    </xf>
    <xf numFmtId="164" fontId="5" fillId="0" borderId="0" xfId="0" applyNumberFormat="1" applyFont="1" applyBorder="1" applyAlignment="1">
      <alignment horizontal="left"/>
    </xf>
    <xf numFmtId="164" fontId="5" fillId="0" borderId="17" xfId="0" applyNumberFormat="1" applyFont="1" applyBorder="1" applyAlignment="1">
      <alignment horizontal="left"/>
    </xf>
    <xf numFmtId="0" fontId="5" fillId="0" borderId="18" xfId="0" applyFont="1" applyBorder="1" applyAlignment="1"/>
    <xf numFmtId="0" fontId="5" fillId="0" borderId="19" xfId="0" applyFont="1" applyBorder="1" applyAlignment="1"/>
    <xf numFmtId="165" fontId="5" fillId="0" borderId="17" xfId="0" applyNumberFormat="1" applyFont="1" applyBorder="1" applyAlignment="1"/>
    <xf numFmtId="0" fontId="0" fillId="0" borderId="0" xfId="0" applyFont="1"/>
    <xf numFmtId="164" fontId="0" fillId="0" borderId="0" xfId="0" applyNumberFormat="1" applyFont="1"/>
    <xf numFmtId="0" fontId="5" fillId="0" borderId="11" xfId="0" applyFont="1" applyBorder="1" applyAlignment="1">
      <alignment horizontal="center"/>
    </xf>
    <xf numFmtId="165" fontId="5" fillId="0" borderId="11" xfId="0" applyNumberFormat="1" applyFont="1" applyBorder="1" applyAlignment="1">
      <alignment horizontal="center"/>
    </xf>
    <xf numFmtId="164" fontId="5" fillId="0" borderId="11" xfId="0" applyNumberFormat="1" applyFont="1" applyBorder="1" applyAlignment="1">
      <alignment horizontal="center"/>
    </xf>
    <xf numFmtId="166" fontId="5" fillId="0" borderId="11" xfId="0" applyNumberFormat="1" applyFont="1" applyBorder="1" applyAlignment="1"/>
    <xf numFmtId="20" fontId="0" fillId="0" borderId="0" xfId="0" applyNumberFormat="1" applyFont="1"/>
    <xf numFmtId="164" fontId="5" fillId="0" borderId="11" xfId="0" applyNumberFormat="1" applyFont="1" applyBorder="1" applyAlignment="1">
      <alignment horizontal="center"/>
    </xf>
    <xf numFmtId="166" fontId="5" fillId="0" borderId="11" xfId="0" applyNumberFormat="1" applyFont="1" applyBorder="1" applyAlignment="1">
      <alignment horizontal="right"/>
    </xf>
    <xf numFmtId="166" fontId="5" fillId="0" borderId="11" xfId="0" applyNumberFormat="1" applyFont="1" applyBorder="1"/>
    <xf numFmtId="167" fontId="5" fillId="0" borderId="11" xfId="0" applyNumberFormat="1" applyFont="1" applyBorder="1"/>
    <xf numFmtId="165" fontId="0" fillId="0" borderId="0" xfId="0" applyNumberFormat="1" applyFont="1"/>
    <xf numFmtId="0" fontId="3" fillId="0" borderId="0" xfId="0" applyFont="1"/>
    <xf numFmtId="0" fontId="0" fillId="0" borderId="20" xfId="0" applyFont="1" applyBorder="1" applyAlignment="1">
      <alignment horizontal="left"/>
    </xf>
    <xf numFmtId="0" fontId="3" fillId="0" borderId="0" xfId="0" applyFont="1" applyAlignment="1"/>
    <xf numFmtId="0" fontId="3" fillId="0" borderId="0" xfId="0" applyFont="1"/>
    <xf numFmtId="0" fontId="3" fillId="0" borderId="0" xfId="0" applyFont="1" applyAlignment="1">
      <alignment wrapText="1"/>
    </xf>
    <xf numFmtId="164" fontId="3" fillId="0" borderId="0" xfId="0" applyNumberFormat="1" applyFont="1"/>
    <xf numFmtId="164" fontId="5" fillId="0" borderId="0" xfId="0" applyNumberFormat="1" applyFont="1"/>
    <xf numFmtId="0" fontId="3" fillId="0" borderId="0" xfId="0" applyFont="1" applyAlignment="1">
      <alignment horizontal="center"/>
    </xf>
    <xf numFmtId="166" fontId="3" fillId="0" borderId="0" xfId="0" applyNumberFormat="1" applyFont="1"/>
    <xf numFmtId="1" fontId="3" fillId="0" borderId="0" xfId="0" applyNumberFormat="1" applyFont="1"/>
    <xf numFmtId="0" fontId="6" fillId="0" borderId="0" xfId="0" applyFont="1"/>
    <xf numFmtId="3" fontId="0" fillId="0" borderId="0" xfId="0" applyNumberFormat="1" applyFont="1" applyAlignment="1">
      <alignment horizontal="left"/>
    </xf>
    <xf numFmtId="0" fontId="0" fillId="0" borderId="0" xfId="0" applyFont="1" applyAlignment="1">
      <alignment wrapText="1"/>
    </xf>
    <xf numFmtId="0" fontId="3" fillId="2" borderId="24" xfId="0" applyFont="1" applyFill="1" applyBorder="1" applyAlignment="1">
      <alignment wrapText="1"/>
    </xf>
    <xf numFmtId="0" fontId="0" fillId="2" borderId="5" xfId="0" applyFont="1" applyFill="1" applyBorder="1" applyAlignment="1">
      <alignment wrapText="1"/>
    </xf>
    <xf numFmtId="0" fontId="0" fillId="2" borderId="25" xfId="0" applyFont="1" applyFill="1" applyBorder="1" applyAlignment="1">
      <alignment wrapText="1"/>
    </xf>
    <xf numFmtId="0" fontId="3" fillId="2" borderId="26" xfId="0" applyFont="1" applyFill="1" applyBorder="1" applyAlignment="1">
      <alignment horizontal="right" wrapText="1"/>
    </xf>
    <xf numFmtId="3" fontId="0" fillId="0" borderId="11" xfId="0" applyNumberFormat="1" applyFont="1" applyBorder="1" applyAlignment="1">
      <alignment wrapText="1"/>
    </xf>
    <xf numFmtId="165" fontId="0" fillId="0" borderId="11" xfId="0" applyNumberFormat="1" applyFont="1" applyBorder="1" applyAlignment="1">
      <alignment wrapText="1"/>
    </xf>
    <xf numFmtId="165" fontId="0" fillId="0" borderId="27" xfId="0" applyNumberFormat="1" applyFont="1" applyBorder="1" applyAlignment="1">
      <alignment wrapText="1"/>
    </xf>
    <xf numFmtId="0" fontId="3" fillId="2" borderId="28" xfId="0" applyFont="1" applyFill="1" applyBorder="1" applyAlignment="1">
      <alignment wrapText="1"/>
    </xf>
    <xf numFmtId="3" fontId="0" fillId="0" borderId="11" xfId="0" applyNumberFormat="1" applyFont="1" applyBorder="1"/>
    <xf numFmtId="165" fontId="0" fillId="0" borderId="11" xfId="0" applyNumberFormat="1" applyFont="1" applyBorder="1"/>
    <xf numFmtId="0" fontId="3" fillId="2" borderId="29" xfId="0" applyFont="1" applyFill="1" applyBorder="1" applyAlignment="1">
      <alignment wrapText="1"/>
    </xf>
    <xf numFmtId="0" fontId="0" fillId="0" borderId="0" xfId="0" applyFont="1" applyBorder="1"/>
    <xf numFmtId="0" fontId="3" fillId="2" borderId="30" xfId="0" applyFont="1" applyFill="1" applyBorder="1" applyAlignment="1">
      <alignment wrapText="1"/>
    </xf>
    <xf numFmtId="3" fontId="0" fillId="0" borderId="31" xfId="0" applyNumberFormat="1" applyFont="1" applyBorder="1"/>
    <xf numFmtId="165" fontId="0" fillId="0" borderId="31" xfId="0" applyNumberFormat="1" applyFont="1" applyBorder="1"/>
    <xf numFmtId="0" fontId="0" fillId="0" borderId="32" xfId="0" applyFont="1" applyBorder="1"/>
    <xf numFmtId="0" fontId="3" fillId="2" borderId="33" xfId="0" applyFont="1" applyFill="1" applyBorder="1" applyAlignment="1">
      <alignment wrapText="1"/>
    </xf>
    <xf numFmtId="3" fontId="0" fillId="0" borderId="33" xfId="0" applyNumberFormat="1" applyFont="1" applyBorder="1"/>
    <xf numFmtId="165" fontId="0" fillId="0" borderId="33" xfId="0" applyNumberFormat="1" applyFont="1" applyBorder="1"/>
    <xf numFmtId="165" fontId="0" fillId="0" borderId="33" xfId="0" applyNumberFormat="1" applyFont="1" applyBorder="1" applyAlignment="1">
      <alignment wrapText="1"/>
    </xf>
    <xf numFmtId="0" fontId="3" fillId="2" borderId="34" xfId="0" applyFont="1" applyFill="1" applyBorder="1" applyAlignment="1">
      <alignment horizontal="center" wrapText="1"/>
    </xf>
    <xf numFmtId="0" fontId="0" fillId="0" borderId="32" xfId="0" applyFont="1" applyBorder="1" applyAlignment="1">
      <alignment horizontal="left"/>
    </xf>
    <xf numFmtId="0" fontId="0" fillId="0" borderId="32" xfId="0" applyFont="1" applyBorder="1" applyAlignment="1">
      <alignment vertical="center" wrapText="1"/>
    </xf>
    <xf numFmtId="0" fontId="0" fillId="0" borderId="20" xfId="0" applyFont="1" applyBorder="1"/>
    <xf numFmtId="0" fontId="0" fillId="0" borderId="0" xfId="0" applyFont="1" applyAlignment="1">
      <alignment vertical="center" wrapText="1"/>
    </xf>
    <xf numFmtId="3" fontId="0" fillId="0" borderId="0" xfId="0" applyNumberFormat="1" applyFont="1" applyAlignment="1">
      <alignment horizontal="right"/>
    </xf>
    <xf numFmtId="0" fontId="0" fillId="0" borderId="0" xfId="0" applyFont="1" applyAlignment="1">
      <alignment horizontal="right"/>
    </xf>
    <xf numFmtId="3" fontId="0" fillId="2" borderId="2" xfId="0" applyNumberFormat="1" applyFont="1" applyFill="1" applyBorder="1" applyAlignment="1">
      <alignment horizontal="left"/>
    </xf>
    <xf numFmtId="0" fontId="0" fillId="2" borderId="3" xfId="0" applyFont="1" applyFill="1" applyBorder="1" applyAlignment="1">
      <alignment horizontal="center"/>
    </xf>
    <xf numFmtId="3" fontId="0" fillId="2" borderId="3" xfId="0" applyNumberFormat="1" applyFont="1" applyFill="1" applyBorder="1" applyAlignment="1">
      <alignment horizontal="center"/>
    </xf>
    <xf numFmtId="0" fontId="0" fillId="2" borderId="35" xfId="0" applyFont="1" applyFill="1" applyBorder="1" applyAlignment="1">
      <alignment horizontal="center"/>
    </xf>
    <xf numFmtId="3" fontId="0" fillId="2" borderId="4" xfId="0" applyNumberFormat="1" applyFont="1" applyFill="1" applyBorder="1" applyAlignment="1">
      <alignment horizontal="right" wrapText="1"/>
    </xf>
    <xf numFmtId="3" fontId="0" fillId="2" borderId="5" xfId="0" applyNumberFormat="1" applyFont="1" applyFill="1" applyBorder="1" applyAlignment="1">
      <alignment horizontal="right" wrapText="1"/>
    </xf>
    <xf numFmtId="0" fontId="0" fillId="2" borderId="6" xfId="0" applyFont="1" applyFill="1" applyBorder="1" applyAlignment="1">
      <alignment wrapText="1"/>
    </xf>
    <xf numFmtId="0" fontId="0" fillId="2" borderId="7" xfId="0" applyFont="1" applyFill="1" applyBorder="1"/>
    <xf numFmtId="0" fontId="0" fillId="0" borderId="9" xfId="0" applyFont="1" applyBorder="1" applyAlignment="1">
      <alignment wrapText="1"/>
    </xf>
    <xf numFmtId="1" fontId="0" fillId="0" borderId="9" xfId="0" applyNumberFormat="1" applyFont="1" applyBorder="1" applyAlignment="1">
      <alignment wrapText="1"/>
    </xf>
    <xf numFmtId="1" fontId="0" fillId="0" borderId="9" xfId="0" applyNumberFormat="1" applyFont="1" applyBorder="1"/>
    <xf numFmtId="3" fontId="0" fillId="0" borderId="9" xfId="0" applyNumberFormat="1" applyFont="1" applyBorder="1" applyAlignment="1">
      <alignment horizontal="right"/>
    </xf>
    <xf numFmtId="164" fontId="0" fillId="0" borderId="9" xfId="0" applyNumberFormat="1" applyFont="1" applyBorder="1" applyAlignment="1">
      <alignment wrapText="1"/>
    </xf>
    <xf numFmtId="164" fontId="0" fillId="0" borderId="36" xfId="0" applyNumberFormat="1" applyFont="1" applyBorder="1" applyAlignment="1">
      <alignment wrapText="1"/>
    </xf>
    <xf numFmtId="0" fontId="0" fillId="2" borderId="12" xfId="0" applyFont="1" applyFill="1" applyBorder="1"/>
    <xf numFmtId="3" fontId="0" fillId="0" borderId="14" xfId="0" applyNumberFormat="1" applyFont="1" applyBorder="1"/>
    <xf numFmtId="0" fontId="0" fillId="0" borderId="14" xfId="0" applyFont="1" applyBorder="1"/>
    <xf numFmtId="1" fontId="0" fillId="0" borderId="14" xfId="0" applyNumberFormat="1" applyFont="1" applyBorder="1" applyAlignment="1">
      <alignment wrapText="1"/>
    </xf>
    <xf numFmtId="1" fontId="0" fillId="0" borderId="14" xfId="0" applyNumberFormat="1" applyFont="1" applyBorder="1"/>
    <xf numFmtId="3" fontId="0" fillId="0" borderId="14" xfId="0" applyNumberFormat="1" applyFont="1" applyBorder="1" applyAlignment="1">
      <alignment horizontal="right"/>
    </xf>
    <xf numFmtId="164" fontId="0" fillId="0" borderId="14" xfId="0" applyNumberFormat="1" applyFont="1" applyBorder="1" applyAlignment="1">
      <alignment wrapText="1"/>
    </xf>
    <xf numFmtId="0" fontId="0" fillId="2" borderId="4" xfId="0" applyFont="1" applyFill="1" applyBorder="1" applyAlignment="1">
      <alignment horizontal="right"/>
    </xf>
    <xf numFmtId="3" fontId="0" fillId="0" borderId="5" xfId="0" applyNumberFormat="1" applyFont="1" applyBorder="1"/>
    <xf numFmtId="0" fontId="0" fillId="0" borderId="5" xfId="0" applyFont="1" applyBorder="1"/>
    <xf numFmtId="1" fontId="0" fillId="0" borderId="5" xfId="0" applyNumberFormat="1" applyFont="1" applyBorder="1"/>
    <xf numFmtId="3" fontId="0" fillId="0" borderId="5" xfId="0" applyNumberFormat="1" applyFont="1" applyBorder="1" applyAlignment="1">
      <alignment horizontal="right"/>
    </xf>
    <xf numFmtId="164" fontId="0" fillId="0" borderId="5" xfId="0" applyNumberFormat="1" applyFont="1" applyBorder="1"/>
    <xf numFmtId="164" fontId="0" fillId="0" borderId="6" xfId="0" applyNumberFormat="1" applyFont="1" applyBorder="1" applyAlignment="1">
      <alignment wrapText="1"/>
    </xf>
    <xf numFmtId="3" fontId="0" fillId="0" borderId="20" xfId="0" applyNumberFormat="1" applyFont="1" applyBorder="1" applyAlignment="1">
      <alignment horizontal="left"/>
    </xf>
    <xf numFmtId="1" fontId="0" fillId="0" borderId="20" xfId="0" applyNumberFormat="1" applyFont="1" applyBorder="1"/>
    <xf numFmtId="0" fontId="0" fillId="0" borderId="20" xfId="0" applyFont="1" applyBorder="1" applyAlignment="1">
      <alignment vertical="center" wrapText="1"/>
    </xf>
    <xf numFmtId="0" fontId="3" fillId="2" borderId="37" xfId="0" applyFont="1" applyFill="1" applyBorder="1" applyAlignment="1">
      <alignment wrapText="1"/>
    </xf>
    <xf numFmtId="164" fontId="3" fillId="2" borderId="38" xfId="0" applyNumberFormat="1" applyFont="1" applyFill="1" applyBorder="1" applyAlignment="1">
      <alignment wrapText="1"/>
    </xf>
    <xf numFmtId="164" fontId="3" fillId="2" borderId="21" xfId="0" applyNumberFormat="1" applyFont="1" applyFill="1" applyBorder="1" applyAlignment="1">
      <alignment wrapText="1"/>
    </xf>
    <xf numFmtId="0" fontId="3" fillId="2" borderId="39" xfId="0" applyFont="1" applyFill="1" applyBorder="1" applyAlignment="1">
      <alignment wrapText="1"/>
    </xf>
    <xf numFmtId="164" fontId="3" fillId="0" borderId="27" xfId="0" applyNumberFormat="1" applyFont="1" applyBorder="1"/>
    <xf numFmtId="0" fontId="5" fillId="2" borderId="39" xfId="0" applyFont="1" applyFill="1" applyBorder="1" applyAlignment="1">
      <alignment wrapText="1"/>
    </xf>
    <xf numFmtId="164" fontId="5" fillId="0" borderId="11" xfId="0" applyNumberFormat="1" applyFont="1" applyBorder="1"/>
    <xf numFmtId="164" fontId="5" fillId="0" borderId="27" xfId="0" applyNumberFormat="1" applyFont="1" applyBorder="1"/>
    <xf numFmtId="0" fontId="5" fillId="2" borderId="40" xfId="0" applyFont="1" applyFill="1" applyBorder="1" applyAlignment="1">
      <alignment wrapText="1"/>
    </xf>
    <xf numFmtId="0" fontId="3" fillId="2" borderId="41" xfId="0" applyFont="1" applyFill="1" applyBorder="1" applyAlignment="1">
      <alignment wrapText="1"/>
    </xf>
    <xf numFmtId="164" fontId="3" fillId="0" borderId="42" xfId="0" applyNumberFormat="1" applyFont="1" applyBorder="1"/>
    <xf numFmtId="164" fontId="3" fillId="0" borderId="43" xfId="0" applyNumberFormat="1"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35" xfId="0" applyFont="1" applyFill="1" applyBorder="1" applyAlignment="1">
      <alignment horizontal="center"/>
    </xf>
    <xf numFmtId="0" fontId="3" fillId="2" borderId="4" xfId="0" applyFont="1" applyFill="1" applyBorder="1" applyAlignment="1">
      <alignment wrapText="1"/>
    </xf>
    <xf numFmtId="0" fontId="3" fillId="2" borderId="5" xfId="0" applyFont="1" applyFill="1" applyBorder="1" applyAlignment="1">
      <alignment wrapText="1"/>
    </xf>
    <xf numFmtId="0" fontId="3" fillId="2" borderId="6" xfId="0" applyFont="1" applyFill="1" applyBorder="1" applyAlignment="1">
      <alignment wrapText="1"/>
    </xf>
    <xf numFmtId="0" fontId="3" fillId="2" borderId="7" xfId="0" applyFont="1" applyFill="1" applyBorder="1"/>
    <xf numFmtId="3" fontId="3" fillId="0" borderId="9" xfId="0" applyNumberFormat="1" applyFont="1" applyBorder="1"/>
    <xf numFmtId="0" fontId="3" fillId="0" borderId="9" xfId="0" applyFont="1" applyBorder="1"/>
    <xf numFmtId="2" fontId="3" fillId="0" borderId="9" xfId="0" applyNumberFormat="1" applyFont="1" applyBorder="1"/>
    <xf numFmtId="164" fontId="3" fillId="0" borderId="9" xfId="0" applyNumberFormat="1" applyFont="1" applyBorder="1"/>
    <xf numFmtId="2" fontId="3" fillId="0" borderId="36" xfId="0" applyNumberFormat="1" applyFont="1" applyBorder="1"/>
    <xf numFmtId="0" fontId="3" fillId="2" borderId="12" xfId="0" applyFont="1" applyFill="1" applyBorder="1"/>
    <xf numFmtId="3" fontId="3" fillId="0" borderId="14" xfId="0" applyNumberFormat="1" applyFont="1" applyBorder="1"/>
    <xf numFmtId="0" fontId="3" fillId="0" borderId="14" xfId="0" applyFont="1" applyBorder="1"/>
    <xf numFmtId="2" fontId="3" fillId="0" borderId="14" xfId="0" applyNumberFormat="1" applyFont="1" applyBorder="1"/>
    <xf numFmtId="2" fontId="3" fillId="0" borderId="44" xfId="0" applyNumberFormat="1" applyFont="1" applyBorder="1"/>
    <xf numFmtId="0" fontId="5" fillId="0" borderId="0" xfId="0" applyFont="1"/>
    <xf numFmtId="0" fontId="5" fillId="2" borderId="4" xfId="0" applyFont="1" applyFill="1" applyBorder="1"/>
    <xf numFmtId="3" fontId="5" fillId="0" borderId="5" xfId="0" applyNumberFormat="1" applyFont="1" applyBorder="1"/>
    <xf numFmtId="164" fontId="5" fillId="0" borderId="5" xfId="0" applyNumberFormat="1" applyFont="1" applyBorder="1"/>
    <xf numFmtId="2" fontId="5" fillId="0" borderId="5" xfId="0" applyNumberFormat="1" applyFont="1" applyBorder="1"/>
    <xf numFmtId="2" fontId="5" fillId="0" borderId="9" xfId="0" applyNumberFormat="1" applyFont="1" applyBorder="1"/>
    <xf numFmtId="2" fontId="5" fillId="0" borderId="6" xfId="0" applyNumberFormat="1" applyFont="1" applyBorder="1"/>
    <xf numFmtId="2" fontId="3" fillId="0" borderId="0" xfId="0" applyNumberFormat="1" applyFont="1"/>
    <xf numFmtId="0" fontId="7" fillId="0" borderId="0" xfId="0" applyFont="1"/>
    <xf numFmtId="0" fontId="8" fillId="2" borderId="11" xfId="0" applyFont="1" applyFill="1" applyBorder="1" applyAlignment="1">
      <alignment vertical="top" wrapText="1"/>
    </xf>
    <xf numFmtId="3" fontId="8" fillId="2" borderId="11" xfId="0" applyNumberFormat="1" applyFont="1" applyFill="1" applyBorder="1" applyAlignment="1">
      <alignment horizontal="center" vertical="top" wrapText="1"/>
    </xf>
    <xf numFmtId="0" fontId="9" fillId="2" borderId="11" xfId="0" applyFont="1" applyFill="1" applyBorder="1" applyAlignment="1">
      <alignment vertical="top" wrapText="1"/>
    </xf>
    <xf numFmtId="0" fontId="3" fillId="0" borderId="11" xfId="0" applyFont="1" applyBorder="1" applyAlignment="1">
      <alignment vertical="top" wrapText="1"/>
    </xf>
    <xf numFmtId="0" fontId="9" fillId="2" borderId="11" xfId="0" applyFont="1" applyFill="1" applyBorder="1" applyAlignment="1">
      <alignment horizontal="center" vertical="top" wrapText="1"/>
    </xf>
    <xf numFmtId="3" fontId="9" fillId="0" borderId="11" xfId="0" applyNumberFormat="1" applyFont="1" applyBorder="1" applyAlignment="1">
      <alignment horizontal="center" vertical="top" wrapText="1"/>
    </xf>
    <xf numFmtId="0" fontId="9" fillId="2" borderId="11" xfId="0" applyFont="1" applyFill="1" applyBorder="1" applyAlignment="1">
      <alignment horizontal="left" vertical="top" wrapText="1" indent="9"/>
    </xf>
    <xf numFmtId="0" fontId="8" fillId="2" borderId="11" xfId="0" applyFont="1" applyFill="1" applyBorder="1" applyAlignment="1">
      <alignment horizontal="center" vertical="top" wrapText="1"/>
    </xf>
    <xf numFmtId="3" fontId="8" fillId="0" borderId="11" xfId="0" applyNumberFormat="1" applyFont="1" applyBorder="1" applyAlignment="1">
      <alignment horizontal="center" vertical="top" wrapText="1"/>
    </xf>
    <xf numFmtId="168" fontId="8" fillId="0" borderId="11" xfId="0" applyNumberFormat="1" applyFont="1" applyBorder="1" applyAlignment="1">
      <alignment horizontal="center" vertical="top" wrapText="1"/>
    </xf>
    <xf numFmtId="1" fontId="2" fillId="0" borderId="0" xfId="0" applyNumberFormat="1" applyFont="1"/>
    <xf numFmtId="0" fontId="3" fillId="2" borderId="46" xfId="0" applyFont="1" applyFill="1" applyBorder="1" applyAlignment="1">
      <alignment wrapText="1"/>
    </xf>
    <xf numFmtId="0" fontId="3" fillId="2" borderId="47" xfId="0" applyFont="1" applyFill="1" applyBorder="1" applyAlignment="1">
      <alignment wrapText="1"/>
    </xf>
    <xf numFmtId="1" fontId="3" fillId="2" borderId="47" xfId="0" applyNumberFormat="1" applyFont="1" applyFill="1" applyBorder="1" applyAlignment="1">
      <alignment wrapText="1"/>
    </xf>
    <xf numFmtId="0" fontId="3" fillId="2" borderId="48" xfId="0" applyFont="1" applyFill="1" applyBorder="1" applyAlignment="1">
      <alignment horizontal="left" wrapText="1"/>
    </xf>
    <xf numFmtId="0" fontId="3" fillId="2" borderId="49" xfId="0" applyFont="1" applyFill="1" applyBorder="1"/>
    <xf numFmtId="0" fontId="3" fillId="0" borderId="50" xfId="0" applyFont="1" applyBorder="1"/>
    <xf numFmtId="164" fontId="3" fillId="0" borderId="51" xfId="0" applyNumberFormat="1" applyFont="1" applyBorder="1"/>
    <xf numFmtId="1" fontId="3" fillId="0" borderId="51" xfId="0" applyNumberFormat="1" applyFont="1" applyBorder="1"/>
    <xf numFmtId="164" fontId="3" fillId="0" borderId="52" xfId="0" applyNumberFormat="1" applyFont="1" applyBorder="1"/>
    <xf numFmtId="0" fontId="3" fillId="2" borderId="53" xfId="0" applyFont="1" applyFill="1" applyBorder="1"/>
    <xf numFmtId="0" fontId="3" fillId="0" borderId="54" xfId="0" applyFont="1" applyBorder="1"/>
    <xf numFmtId="164" fontId="3" fillId="0" borderId="55" xfId="0" applyNumberFormat="1" applyFont="1" applyBorder="1"/>
    <xf numFmtId="1" fontId="3" fillId="0" borderId="55" xfId="0" applyNumberFormat="1" applyFont="1" applyBorder="1"/>
    <xf numFmtId="164" fontId="3" fillId="0" borderId="56" xfId="0" applyNumberFormat="1" applyFont="1" applyBorder="1"/>
    <xf numFmtId="0" fontId="3" fillId="0" borderId="57" xfId="0" applyFont="1" applyBorder="1"/>
    <xf numFmtId="164" fontId="3" fillId="0" borderId="58" xfId="0" applyNumberFormat="1" applyFont="1" applyBorder="1"/>
    <xf numFmtId="1" fontId="3" fillId="0" borderId="58" xfId="0" applyNumberFormat="1" applyFont="1" applyBorder="1"/>
    <xf numFmtId="164" fontId="3" fillId="0" borderId="59" xfId="0" applyNumberFormat="1" applyFont="1" applyBorder="1"/>
    <xf numFmtId="0" fontId="3" fillId="2" borderId="60" xfId="0" applyFont="1" applyFill="1" applyBorder="1"/>
    <xf numFmtId="0" fontId="3" fillId="2" borderId="61" xfId="0" applyFont="1" applyFill="1" applyBorder="1"/>
    <xf numFmtId="164" fontId="3" fillId="2" borderId="47" xfId="0" applyNumberFormat="1" applyFont="1" applyFill="1" applyBorder="1"/>
    <xf numFmtId="1" fontId="3" fillId="2" borderId="47" xfId="0" applyNumberFormat="1" applyFont="1" applyFill="1" applyBorder="1"/>
    <xf numFmtId="164" fontId="5" fillId="2" borderId="47" xfId="0" applyNumberFormat="1" applyFont="1" applyFill="1" applyBorder="1"/>
    <xf numFmtId="1" fontId="5" fillId="2" borderId="47" xfId="0" applyNumberFormat="1" applyFont="1" applyFill="1" applyBorder="1"/>
    <xf numFmtId="164" fontId="5" fillId="2" borderId="48" xfId="0" applyNumberFormat="1" applyFont="1" applyFill="1" applyBorder="1"/>
    <xf numFmtId="0" fontId="3" fillId="3" borderId="62" xfId="0" applyFont="1" applyFill="1" applyBorder="1" applyAlignment="1">
      <alignment wrapText="1"/>
    </xf>
    <xf numFmtId="0" fontId="3" fillId="3" borderId="62" xfId="0" applyFont="1" applyFill="1" applyBorder="1" applyAlignment="1">
      <alignment horizontal="center" wrapText="1"/>
    </xf>
    <xf numFmtId="0" fontId="3" fillId="2" borderId="62" xfId="0" applyFont="1" applyFill="1" applyBorder="1" applyAlignment="1">
      <alignment horizontal="center" wrapText="1"/>
    </xf>
    <xf numFmtId="168" fontId="3" fillId="0" borderId="62" xfId="0" applyNumberFormat="1" applyFont="1" applyBorder="1" applyAlignment="1">
      <alignment horizontal="right"/>
    </xf>
    <xf numFmtId="0" fontId="3" fillId="0" borderId="62" xfId="0" applyFont="1" applyBorder="1" applyAlignment="1">
      <alignment horizontal="right"/>
    </xf>
    <xf numFmtId="168" fontId="5" fillId="0" borderId="62" xfId="0" applyNumberFormat="1" applyFont="1" applyBorder="1" applyAlignment="1">
      <alignment horizontal="right"/>
    </xf>
    <xf numFmtId="0" fontId="5" fillId="0" borderId="62" xfId="0" applyFont="1" applyBorder="1"/>
    <xf numFmtId="0" fontId="12" fillId="3" borderId="62" xfId="0" applyFont="1" applyFill="1" applyBorder="1" applyAlignment="1">
      <alignment wrapText="1"/>
    </xf>
  </cellXfs>
  <cellStyles count="2">
    <cellStyle name="Normal" xfId="0" builtinId="0"/>
    <cellStyle name="TableStyleLight1" xfId="1"/>
  </cellStyles>
  <dxfs count="0"/>
  <tableStyles count="0" defaultTableStyle="TableStyleMedium2" defaultPivotStyle="PivotStyleLight16"/>
  <colors>
    <indexedColors>
      <rgbColor rgb="FF000000"/>
      <rgbColor rgb="FFEAF1DD"/>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F9900"/>
      <rgbColor rgb="FFFF6600"/>
      <rgbColor rgb="FF4F6228"/>
      <rgbColor rgb="FF969696"/>
      <rgbColor rgb="FF003366"/>
      <rgbColor rgb="FF339966"/>
      <rgbColor rgb="FF003300"/>
      <rgbColor rgb="FF333300"/>
      <rgbColor rgb="FF993300"/>
      <rgbColor rgb="FF993366"/>
      <rgbColor rgb="FF333399"/>
      <rgbColor rgb="FF3634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6"/>
  <sheetViews>
    <sheetView tabSelected="1" zoomScaleNormal="100" workbookViewId="0">
      <selection activeCell="J31" sqref="J31"/>
    </sheetView>
  </sheetViews>
  <sheetFormatPr defaultRowHeight="15.75" x14ac:dyDescent="0.25"/>
  <cols>
    <col min="1" max="1" width="13.7109375" style="7"/>
    <col min="2" max="2" width="14.28515625" style="7"/>
    <col min="3" max="3" width="14.5703125" style="7"/>
    <col min="4" max="4" width="14.42578125" style="7"/>
    <col min="5" max="6" width="14.7109375" style="7"/>
    <col min="7" max="8" width="15" style="7"/>
    <col min="9" max="9" width="13.7109375" style="7"/>
    <col min="10" max="10" width="16.5703125" style="7"/>
    <col min="11" max="11" width="16.42578125" style="7"/>
    <col min="12" max="12" width="14.85546875" style="7"/>
    <col min="13" max="13" width="17.42578125" style="7"/>
    <col min="14" max="14" width="16.140625" style="7"/>
    <col min="15" max="16" width="17" style="7"/>
    <col min="17" max="17" width="17" style="8"/>
    <col min="18" max="18" width="13.28515625" style="8"/>
    <col min="19" max="19" width="19.42578125" style="7"/>
    <col min="20" max="20" width="17.5703125" style="7"/>
    <col min="21" max="21" width="14.7109375" style="9"/>
    <col min="22" max="22" width="15.7109375" style="7"/>
    <col min="23" max="23" width="18.42578125" style="7"/>
    <col min="24" max="1025" width="8.85546875" style="7"/>
  </cols>
  <sheetData>
    <row r="1" spans="1:23" x14ac:dyDescent="0.25">
      <c r="A1" s="6" t="s">
        <v>0</v>
      </c>
      <c r="B1" s="6"/>
      <c r="C1" s="6"/>
      <c r="D1" s="6"/>
      <c r="E1" s="6"/>
      <c r="F1" s="6"/>
      <c r="G1" s="6"/>
      <c r="H1" s="6"/>
      <c r="I1" s="6"/>
      <c r="J1" s="6"/>
      <c r="K1" s="6"/>
      <c r="L1" s="6"/>
      <c r="M1" s="6" t="s">
        <v>0</v>
      </c>
      <c r="N1" s="6"/>
      <c r="O1" s="6"/>
      <c r="P1" s="6"/>
      <c r="Q1" s="6"/>
      <c r="R1" s="6"/>
      <c r="S1" s="6"/>
      <c r="T1" s="6"/>
      <c r="U1" s="6"/>
      <c r="V1" s="6"/>
      <c r="W1" s="6"/>
    </row>
    <row r="2" spans="1:23" s="13" customFormat="1" x14ac:dyDescent="0.25">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2" t="s">
        <v>21</v>
      </c>
      <c r="V2" s="11" t="s">
        <v>22</v>
      </c>
      <c r="W2" s="11" t="s">
        <v>23</v>
      </c>
    </row>
    <row r="3" spans="1:23" ht="96.75" customHeight="1" x14ac:dyDescent="0.25">
      <c r="A3" s="14" t="s">
        <v>24</v>
      </c>
      <c r="B3" s="15" t="s">
        <v>25</v>
      </c>
      <c r="C3" s="15" t="s">
        <v>26</v>
      </c>
      <c r="D3" s="15" t="s">
        <v>27</v>
      </c>
      <c r="E3" s="15" t="s">
        <v>28</v>
      </c>
      <c r="F3" s="15" t="s">
        <v>29</v>
      </c>
      <c r="G3" s="15" t="s">
        <v>30</v>
      </c>
      <c r="H3" s="15" t="s">
        <v>31</v>
      </c>
      <c r="I3" s="15" t="s">
        <v>32</v>
      </c>
      <c r="J3" s="15" t="s">
        <v>33</v>
      </c>
      <c r="K3" s="15" t="s">
        <v>34</v>
      </c>
      <c r="L3" s="15" t="s">
        <v>35</v>
      </c>
      <c r="M3" s="15" t="s">
        <v>36</v>
      </c>
      <c r="N3" s="16" t="s">
        <v>37</v>
      </c>
      <c r="O3" s="16" t="s">
        <v>38</v>
      </c>
      <c r="P3" s="16" t="s">
        <v>39</v>
      </c>
      <c r="Q3" s="16" t="s">
        <v>40</v>
      </c>
      <c r="R3" s="17" t="s">
        <v>41</v>
      </c>
      <c r="S3" s="17" t="s">
        <v>42</v>
      </c>
      <c r="T3" s="17" t="s">
        <v>43</v>
      </c>
      <c r="U3" s="18" t="s">
        <v>44</v>
      </c>
      <c r="V3" s="17" t="s">
        <v>45</v>
      </c>
      <c r="W3" s="17" t="s">
        <v>46</v>
      </c>
    </row>
    <row r="4" spans="1:23" x14ac:dyDescent="0.25">
      <c r="A4" s="19" t="s">
        <v>47</v>
      </c>
      <c r="B4" s="20">
        <v>17834</v>
      </c>
      <c r="C4" s="21">
        <v>0</v>
      </c>
      <c r="D4" s="22">
        <v>0</v>
      </c>
      <c r="E4" s="22">
        <v>0</v>
      </c>
      <c r="F4" s="23">
        <v>0</v>
      </c>
      <c r="G4" s="23">
        <v>0</v>
      </c>
      <c r="H4" s="23">
        <v>0</v>
      </c>
      <c r="I4" s="22">
        <v>0</v>
      </c>
      <c r="J4" s="22">
        <v>0</v>
      </c>
      <c r="K4" s="22">
        <v>0</v>
      </c>
      <c r="L4" s="22">
        <f t="shared" ref="L4:L27" si="0">SUM(D4,E4,H4,I4,J4,K4)</f>
        <v>0</v>
      </c>
      <c r="M4" s="22">
        <v>1065000</v>
      </c>
      <c r="N4" s="22"/>
      <c r="O4" s="22">
        <f t="shared" ref="O4:O27" si="1">SUM(M4,N4)/1.07^R4</f>
        <v>1065000</v>
      </c>
      <c r="P4" s="24">
        <f t="shared" ref="P4:P27" si="2">SUM(M4,N4)/1.03^R4</f>
        <v>1065000</v>
      </c>
      <c r="Q4" s="25">
        <v>0</v>
      </c>
      <c r="R4" s="26">
        <v>0</v>
      </c>
      <c r="S4" s="27">
        <f t="shared" ref="S4:S27" si="3">Q4/(1.07^R4)</f>
        <v>0</v>
      </c>
      <c r="T4" s="27">
        <f t="shared" ref="T4:T27" si="4">Q4/(1.03^R4)</f>
        <v>0</v>
      </c>
      <c r="U4" s="28">
        <f t="shared" ref="U4:U27" si="5">G4/(1.03^R4)</f>
        <v>0</v>
      </c>
      <c r="V4" s="27">
        <f t="shared" ref="V4:V27" si="6">S4+U4</f>
        <v>0</v>
      </c>
      <c r="W4" s="27">
        <f t="shared" ref="W4:W27" si="7">T4+U4</f>
        <v>0</v>
      </c>
    </row>
    <row r="5" spans="1:23" x14ac:dyDescent="0.25">
      <c r="A5" s="29" t="s">
        <v>48</v>
      </c>
      <c r="B5" s="30">
        <f t="shared" ref="B5:B27" si="8">B4*1.0039</f>
        <v>17903.552599999999</v>
      </c>
      <c r="C5" s="31">
        <v>0</v>
      </c>
      <c r="D5" s="32">
        <v>0</v>
      </c>
      <c r="E5" s="32">
        <v>0</v>
      </c>
      <c r="F5" s="33">
        <v>0</v>
      </c>
      <c r="G5" s="33">
        <v>0</v>
      </c>
      <c r="H5" s="33">
        <v>0</v>
      </c>
      <c r="I5" s="32">
        <v>0</v>
      </c>
      <c r="J5" s="32">
        <v>0</v>
      </c>
      <c r="K5" s="32">
        <v>0</v>
      </c>
      <c r="L5" s="22">
        <f t="shared" si="0"/>
        <v>0</v>
      </c>
      <c r="M5" s="32">
        <v>535000</v>
      </c>
      <c r="N5" s="32"/>
      <c r="O5" s="22">
        <f t="shared" si="1"/>
        <v>500000</v>
      </c>
      <c r="P5" s="24">
        <f t="shared" si="2"/>
        <v>519417.47572815535</v>
      </c>
      <c r="Q5" s="25">
        <v>0</v>
      </c>
      <c r="R5" s="26">
        <v>1</v>
      </c>
      <c r="S5" s="27">
        <f t="shared" si="3"/>
        <v>0</v>
      </c>
      <c r="T5" s="27">
        <f t="shared" si="4"/>
        <v>0</v>
      </c>
      <c r="U5" s="28">
        <f t="shared" si="5"/>
        <v>0</v>
      </c>
      <c r="V5" s="27">
        <f t="shared" si="6"/>
        <v>0</v>
      </c>
      <c r="W5" s="27">
        <f t="shared" si="7"/>
        <v>0</v>
      </c>
    </row>
    <row r="6" spans="1:23" x14ac:dyDescent="0.25">
      <c r="A6" s="34">
        <v>2014</v>
      </c>
      <c r="B6" s="30">
        <f t="shared" si="8"/>
        <v>17973.376455139998</v>
      </c>
      <c r="C6" s="31">
        <v>0</v>
      </c>
      <c r="D6" s="32">
        <v>0</v>
      </c>
      <c r="E6" s="32">
        <v>0</v>
      </c>
      <c r="F6" s="33">
        <v>0</v>
      </c>
      <c r="G6" s="33">
        <v>0</v>
      </c>
      <c r="H6" s="33">
        <v>0</v>
      </c>
      <c r="I6" s="32">
        <v>0</v>
      </c>
      <c r="J6" s="32">
        <v>0</v>
      </c>
      <c r="K6" s="32">
        <v>0</v>
      </c>
      <c r="L6" s="22">
        <f t="shared" si="0"/>
        <v>0</v>
      </c>
      <c r="M6" s="32">
        <v>6400000</v>
      </c>
      <c r="N6" s="32"/>
      <c r="O6" s="22">
        <f t="shared" si="1"/>
        <v>5590007.8609485542</v>
      </c>
      <c r="P6" s="24">
        <f t="shared" si="2"/>
        <v>6032613.8184560286</v>
      </c>
      <c r="Q6" s="25">
        <v>0</v>
      </c>
      <c r="R6" s="26">
        <v>2</v>
      </c>
      <c r="S6" s="27">
        <f t="shared" si="3"/>
        <v>0</v>
      </c>
      <c r="T6" s="27">
        <f t="shared" si="4"/>
        <v>0</v>
      </c>
      <c r="U6" s="28">
        <f t="shared" si="5"/>
        <v>0</v>
      </c>
      <c r="V6" s="27">
        <f t="shared" si="6"/>
        <v>0</v>
      </c>
      <c r="W6" s="27">
        <f t="shared" si="7"/>
        <v>0</v>
      </c>
    </row>
    <row r="7" spans="1:23" x14ac:dyDescent="0.25">
      <c r="A7" s="34">
        <v>2015</v>
      </c>
      <c r="B7" s="30">
        <f t="shared" si="8"/>
        <v>18043.472623315043</v>
      </c>
      <c r="C7" s="31">
        <v>25599</v>
      </c>
      <c r="D7" s="32">
        <v>99681</v>
      </c>
      <c r="E7" s="32">
        <f t="shared" ref="E7:E27" si="9">C7*20.4/11500*5640</f>
        <v>256114.65599999999</v>
      </c>
      <c r="F7" s="33">
        <v>236.76</v>
      </c>
      <c r="G7" s="32">
        <f>236.76*23.3</f>
        <v>5516.5079999999998</v>
      </c>
      <c r="H7" s="32">
        <v>86184</v>
      </c>
      <c r="I7" s="32">
        <v>681336</v>
      </c>
      <c r="J7" s="32">
        <v>2399372</v>
      </c>
      <c r="K7" s="32">
        <v>5041400</v>
      </c>
      <c r="L7" s="22">
        <f t="shared" si="0"/>
        <v>8564087.6559999995</v>
      </c>
      <c r="M7" s="32"/>
      <c r="N7" s="35">
        <f t="shared" ref="N7:N27" si="10">18000+21250</f>
        <v>39250</v>
      </c>
      <c r="O7" s="22">
        <f t="shared" si="1"/>
        <v>32039.691667965937</v>
      </c>
      <c r="P7" s="24">
        <f t="shared" si="2"/>
        <v>35919.310129611513</v>
      </c>
      <c r="Q7" s="25">
        <f t="shared" ref="Q7:Q27" si="11">L7-(M7+N7)</f>
        <v>8524837.6559999995</v>
      </c>
      <c r="R7" s="26">
        <v>3</v>
      </c>
      <c r="S7" s="27">
        <f t="shared" si="3"/>
        <v>6958806.8794319862</v>
      </c>
      <c r="T7" s="27">
        <f t="shared" si="4"/>
        <v>7801434.0782281384</v>
      </c>
      <c r="U7" s="28">
        <f t="shared" si="5"/>
        <v>5048.3862849549796</v>
      </c>
      <c r="V7" s="27">
        <f t="shared" si="6"/>
        <v>6963855.2657169411</v>
      </c>
      <c r="W7" s="27">
        <f t="shared" si="7"/>
        <v>7806482.4645130932</v>
      </c>
    </row>
    <row r="8" spans="1:23" x14ac:dyDescent="0.25">
      <c r="A8" s="34">
        <v>2016</v>
      </c>
      <c r="B8" s="30">
        <f t="shared" si="8"/>
        <v>18113.842166545972</v>
      </c>
      <c r="C8" s="31">
        <f t="shared" ref="C8:C27" si="12">C7*1.0039</f>
        <v>25698.8361</v>
      </c>
      <c r="D8" s="32">
        <f t="shared" ref="D8:D27" si="13">D7*1.0039</f>
        <v>100069.7559</v>
      </c>
      <c r="E8" s="32">
        <f t="shared" si="9"/>
        <v>257113.50315839998</v>
      </c>
      <c r="F8" s="36">
        <f t="shared" ref="F8:F27" si="14">F7+1.0039</f>
        <v>237.76389999999998</v>
      </c>
      <c r="G8" s="32">
        <f>236.76*23.8</f>
        <v>5634.8879999999999</v>
      </c>
      <c r="H8" s="32">
        <f t="shared" ref="H8:H27" si="15">H7*1.0039</f>
        <v>86520.117599999998</v>
      </c>
      <c r="I8" s="32">
        <f t="shared" ref="I8:I27" si="16">I7*1.0039</f>
        <v>683993.21039999998</v>
      </c>
      <c r="J8" s="32">
        <f t="shared" ref="J8:J27" si="17">2399372*1.0039</f>
        <v>2408729.5507999999</v>
      </c>
      <c r="K8" s="32">
        <v>5041400</v>
      </c>
      <c r="L8" s="22">
        <f t="shared" si="0"/>
        <v>8577826.1378584001</v>
      </c>
      <c r="M8" s="32"/>
      <c r="N8" s="35">
        <f t="shared" si="10"/>
        <v>39250</v>
      </c>
      <c r="O8" s="22">
        <f t="shared" si="1"/>
        <v>29943.637072865364</v>
      </c>
      <c r="P8" s="24">
        <f t="shared" si="2"/>
        <v>34873.116630690791</v>
      </c>
      <c r="Q8" s="25">
        <f t="shared" si="11"/>
        <v>8538576.1378584001</v>
      </c>
      <c r="R8" s="26">
        <v>4</v>
      </c>
      <c r="S8" s="27">
        <f t="shared" si="3"/>
        <v>6514038.8532754229</v>
      </c>
      <c r="T8" s="27">
        <f t="shared" si="4"/>
        <v>7586414.3061291547</v>
      </c>
      <c r="U8" s="28">
        <f t="shared" si="5"/>
        <v>5006.5250044555405</v>
      </c>
      <c r="V8" s="27">
        <f t="shared" si="6"/>
        <v>6519045.3782798788</v>
      </c>
      <c r="W8" s="27">
        <f t="shared" si="7"/>
        <v>7591420.8311336106</v>
      </c>
    </row>
    <row r="9" spans="1:23" x14ac:dyDescent="0.25">
      <c r="A9" s="34">
        <v>2017</v>
      </c>
      <c r="B9" s="30">
        <f t="shared" si="8"/>
        <v>18184.486150995501</v>
      </c>
      <c r="C9" s="31">
        <f t="shared" si="12"/>
        <v>25799.06156079</v>
      </c>
      <c r="D9" s="32">
        <f t="shared" si="13"/>
        <v>100460.02794801</v>
      </c>
      <c r="E9" s="32">
        <f t="shared" si="9"/>
        <v>258116.24582071774</v>
      </c>
      <c r="F9" s="36">
        <f t="shared" si="14"/>
        <v>238.76779999999997</v>
      </c>
      <c r="G9" s="32">
        <f>236.76*24.3</f>
        <v>5753.268</v>
      </c>
      <c r="H9" s="32">
        <f t="shared" si="15"/>
        <v>86857.54605864</v>
      </c>
      <c r="I9" s="32">
        <f t="shared" si="16"/>
        <v>686660.78392056003</v>
      </c>
      <c r="J9" s="32">
        <f t="shared" si="17"/>
        <v>2408729.5507999999</v>
      </c>
      <c r="K9" s="32">
        <v>5041400</v>
      </c>
      <c r="L9" s="22">
        <f t="shared" si="0"/>
        <v>8582224.1545479279</v>
      </c>
      <c r="M9" s="32"/>
      <c r="N9" s="35">
        <f t="shared" si="10"/>
        <v>39250</v>
      </c>
      <c r="O9" s="22">
        <f t="shared" si="1"/>
        <v>27984.707544733981</v>
      </c>
      <c r="P9" s="24">
        <f t="shared" si="2"/>
        <v>33857.39478707844</v>
      </c>
      <c r="Q9" s="25">
        <f t="shared" si="11"/>
        <v>8542974.1545479279</v>
      </c>
      <c r="R9" s="26">
        <v>5</v>
      </c>
      <c r="S9" s="27">
        <f t="shared" si="3"/>
        <v>6091022.5038788486</v>
      </c>
      <c r="T9" s="27">
        <f t="shared" si="4"/>
        <v>7369244.5504799206</v>
      </c>
      <c r="U9" s="28">
        <f t="shared" si="5"/>
        <v>4962.8195157163109</v>
      </c>
      <c r="V9" s="27">
        <f t="shared" si="6"/>
        <v>6095985.3233945649</v>
      </c>
      <c r="W9" s="27">
        <f t="shared" si="7"/>
        <v>7374207.3699956369</v>
      </c>
    </row>
    <row r="10" spans="1:23" x14ac:dyDescent="0.25">
      <c r="A10" s="34">
        <v>2018</v>
      </c>
      <c r="B10" s="30">
        <f t="shared" si="8"/>
        <v>18255.405646984382</v>
      </c>
      <c r="C10" s="31">
        <f t="shared" si="12"/>
        <v>25899.677900877083</v>
      </c>
      <c r="D10" s="32">
        <f t="shared" si="13"/>
        <v>100851.82205700724</v>
      </c>
      <c r="E10" s="32">
        <f t="shared" si="9"/>
        <v>259122.89917941854</v>
      </c>
      <c r="F10" s="36">
        <f t="shared" si="14"/>
        <v>239.77169999999995</v>
      </c>
      <c r="G10" s="32">
        <f>236.76*24.8</f>
        <v>5871.6480000000001</v>
      </c>
      <c r="H10" s="32">
        <f t="shared" si="15"/>
        <v>87196.2904882687</v>
      </c>
      <c r="I10" s="32">
        <f t="shared" si="16"/>
        <v>689338.76097785018</v>
      </c>
      <c r="J10" s="32">
        <f t="shared" si="17"/>
        <v>2408729.5507999999</v>
      </c>
      <c r="K10" s="32">
        <v>5041400</v>
      </c>
      <c r="L10" s="22">
        <f t="shared" si="0"/>
        <v>8586639.3235025443</v>
      </c>
      <c r="M10" s="32"/>
      <c r="N10" s="35">
        <f t="shared" si="10"/>
        <v>39250</v>
      </c>
      <c r="O10" s="22">
        <f t="shared" si="1"/>
        <v>26153.932284798117</v>
      </c>
      <c r="P10" s="24">
        <f t="shared" si="2"/>
        <v>32871.257074833433</v>
      </c>
      <c r="Q10" s="25">
        <f t="shared" si="11"/>
        <v>8547389.3235025443</v>
      </c>
      <c r="R10" s="26">
        <v>6</v>
      </c>
      <c r="S10" s="27">
        <f t="shared" si="3"/>
        <v>5695486.4096482024</v>
      </c>
      <c r="T10" s="27">
        <f t="shared" si="4"/>
        <v>7158303.9941793317</v>
      </c>
      <c r="U10" s="28">
        <f t="shared" si="5"/>
        <v>4917.4127607880664</v>
      </c>
      <c r="V10" s="27">
        <f t="shared" si="6"/>
        <v>5700403.82240899</v>
      </c>
      <c r="W10" s="27">
        <f t="shared" si="7"/>
        <v>7163221.4069401193</v>
      </c>
    </row>
    <row r="11" spans="1:23" x14ac:dyDescent="0.25">
      <c r="A11" s="34">
        <v>2019</v>
      </c>
      <c r="B11" s="30">
        <f t="shared" si="8"/>
        <v>18326.60172900762</v>
      </c>
      <c r="C11" s="31">
        <f t="shared" si="12"/>
        <v>26000.686644690504</v>
      </c>
      <c r="D11" s="32">
        <f t="shared" si="13"/>
        <v>101245.14416302957</v>
      </c>
      <c r="E11" s="32">
        <f t="shared" si="9"/>
        <v>260133.47848621832</v>
      </c>
      <c r="F11" s="36">
        <f t="shared" si="14"/>
        <v>240.77559999999994</v>
      </c>
      <c r="G11" s="32">
        <f>236.76*25.3</f>
        <v>5990.0280000000002</v>
      </c>
      <c r="H11" s="32">
        <f t="shared" si="15"/>
        <v>87536.356021172949</v>
      </c>
      <c r="I11" s="32">
        <f t="shared" si="16"/>
        <v>692027.18214566377</v>
      </c>
      <c r="J11" s="32">
        <f t="shared" si="17"/>
        <v>2408729.5507999999</v>
      </c>
      <c r="K11" s="32">
        <v>5041400</v>
      </c>
      <c r="L11" s="22">
        <f t="shared" si="0"/>
        <v>8591071.711616084</v>
      </c>
      <c r="M11" s="32"/>
      <c r="N11" s="35">
        <f t="shared" si="10"/>
        <v>39250</v>
      </c>
      <c r="O11" s="22">
        <f t="shared" si="1"/>
        <v>24442.927368970202</v>
      </c>
      <c r="P11" s="24">
        <f t="shared" si="2"/>
        <v>31913.841820226637</v>
      </c>
      <c r="Q11" s="25">
        <f t="shared" si="11"/>
        <v>8551821.711616084</v>
      </c>
      <c r="R11" s="26">
        <v>7</v>
      </c>
      <c r="S11" s="27">
        <f t="shared" si="3"/>
        <v>5325644.7635519588</v>
      </c>
      <c r="T11" s="27">
        <f t="shared" si="4"/>
        <v>6953413.6402368285</v>
      </c>
      <c r="U11" s="28">
        <f t="shared" si="5"/>
        <v>4870.4409195090066</v>
      </c>
      <c r="V11" s="27">
        <f t="shared" si="6"/>
        <v>5330515.204471468</v>
      </c>
      <c r="W11" s="27">
        <f t="shared" si="7"/>
        <v>6958284.0811563376</v>
      </c>
    </row>
    <row r="12" spans="1:23" x14ac:dyDescent="0.25">
      <c r="A12" s="34">
        <v>2020</v>
      </c>
      <c r="B12" s="30">
        <f t="shared" si="8"/>
        <v>18398.075475750749</v>
      </c>
      <c r="C12" s="31">
        <f t="shared" si="12"/>
        <v>26102.089322604799</v>
      </c>
      <c r="D12" s="32">
        <f t="shared" si="13"/>
        <v>101640.00022526539</v>
      </c>
      <c r="E12" s="32">
        <f t="shared" si="9"/>
        <v>261147.99905231458</v>
      </c>
      <c r="F12" s="36">
        <f t="shared" si="14"/>
        <v>241.77949999999993</v>
      </c>
      <c r="G12" s="32">
        <f>236.76*25.8</f>
        <v>6108.4080000000004</v>
      </c>
      <c r="H12" s="32">
        <f t="shared" si="15"/>
        <v>87877.747809655528</v>
      </c>
      <c r="I12" s="32">
        <f t="shared" si="16"/>
        <v>694726.08815603191</v>
      </c>
      <c r="J12" s="32">
        <f t="shared" si="17"/>
        <v>2408729.5507999999</v>
      </c>
      <c r="K12" s="32">
        <v>5041400</v>
      </c>
      <c r="L12" s="22">
        <f t="shared" si="0"/>
        <v>8595521.3860432673</v>
      </c>
      <c r="M12" s="32"/>
      <c r="N12" s="35">
        <f t="shared" si="10"/>
        <v>39250</v>
      </c>
      <c r="O12" s="22">
        <f t="shared" si="1"/>
        <v>22843.857354177759</v>
      </c>
      <c r="P12" s="24">
        <f t="shared" si="2"/>
        <v>30984.312446821979</v>
      </c>
      <c r="Q12" s="25">
        <f t="shared" si="11"/>
        <v>8556271.3860432673</v>
      </c>
      <c r="R12" s="26">
        <v>8</v>
      </c>
      <c r="S12" s="27">
        <f t="shared" si="3"/>
        <v>4979827.8478065021</v>
      </c>
      <c r="T12" s="27">
        <f t="shared" si="4"/>
        <v>6754399.643438654</v>
      </c>
      <c r="U12" s="28">
        <f t="shared" si="5"/>
        <v>4822.03368215712</v>
      </c>
      <c r="V12" s="27">
        <f t="shared" si="6"/>
        <v>4984649.8814886594</v>
      </c>
      <c r="W12" s="27">
        <f t="shared" si="7"/>
        <v>6759221.6771208113</v>
      </c>
    </row>
    <row r="13" spans="1:23" x14ac:dyDescent="0.25">
      <c r="A13" s="34">
        <v>2021</v>
      </c>
      <c r="B13" s="30">
        <f t="shared" si="8"/>
        <v>18469.827970106177</v>
      </c>
      <c r="C13" s="31">
        <f t="shared" si="12"/>
        <v>26203.88747096296</v>
      </c>
      <c r="D13" s="32">
        <f t="shared" si="13"/>
        <v>102036.39622614393</v>
      </c>
      <c r="E13" s="32">
        <f t="shared" si="9"/>
        <v>262166.47624861862</v>
      </c>
      <c r="F13" s="36">
        <f t="shared" si="14"/>
        <v>242.78339999999992</v>
      </c>
      <c r="G13" s="32">
        <f>236.76*26.3</f>
        <v>6226.7879999999996</v>
      </c>
      <c r="H13" s="32">
        <f t="shared" si="15"/>
        <v>88220.471026113184</v>
      </c>
      <c r="I13" s="32">
        <f t="shared" si="16"/>
        <v>697435.51989984047</v>
      </c>
      <c r="J13" s="32">
        <f t="shared" si="17"/>
        <v>2408729.5507999999</v>
      </c>
      <c r="K13" s="32">
        <v>5041400</v>
      </c>
      <c r="L13" s="22">
        <f t="shared" si="0"/>
        <v>8599988.4142007157</v>
      </c>
      <c r="M13" s="32"/>
      <c r="N13" s="35">
        <f t="shared" si="10"/>
        <v>39250</v>
      </c>
      <c r="O13" s="22">
        <f t="shared" si="1"/>
        <v>21349.399396427809</v>
      </c>
      <c r="P13" s="24">
        <f t="shared" si="2"/>
        <v>30081.856744487359</v>
      </c>
      <c r="Q13" s="25">
        <f t="shared" si="11"/>
        <v>8560738.4142007157</v>
      </c>
      <c r="R13" s="26">
        <v>9</v>
      </c>
      <c r="S13" s="27">
        <f t="shared" si="3"/>
        <v>4656474.4849200798</v>
      </c>
      <c r="T13" s="27">
        <f t="shared" si="4"/>
        <v>6561093.1618602751</v>
      </c>
      <c r="U13" s="28">
        <f t="shared" si="5"/>
        <v>4772.3145119565079</v>
      </c>
      <c r="V13" s="27">
        <f t="shared" si="6"/>
        <v>4661246.7994320365</v>
      </c>
      <c r="W13" s="27">
        <f t="shared" si="7"/>
        <v>6565865.4763722317</v>
      </c>
    </row>
    <row r="14" spans="1:23" x14ac:dyDescent="0.25">
      <c r="A14" s="34">
        <v>2122</v>
      </c>
      <c r="B14" s="30">
        <f t="shared" si="8"/>
        <v>18541.86029918959</v>
      </c>
      <c r="C14" s="31">
        <f t="shared" si="12"/>
        <v>26306.082632099715</v>
      </c>
      <c r="D14" s="32">
        <f t="shared" si="13"/>
        <v>102434.33817142589</v>
      </c>
      <c r="E14" s="32">
        <f t="shared" si="9"/>
        <v>263188.92550598818</v>
      </c>
      <c r="F14" s="36">
        <f t="shared" si="14"/>
        <v>243.7872999999999</v>
      </c>
      <c r="G14" s="32">
        <f>236.76*27</f>
        <v>6392.5199999999995</v>
      </c>
      <c r="H14" s="32">
        <f t="shared" si="15"/>
        <v>88564.530863115026</v>
      </c>
      <c r="I14" s="32">
        <f t="shared" si="16"/>
        <v>700155.51842744986</v>
      </c>
      <c r="J14" s="32">
        <f t="shared" si="17"/>
        <v>2408729.5507999999</v>
      </c>
      <c r="K14" s="32">
        <v>5041400</v>
      </c>
      <c r="L14" s="22">
        <f t="shared" si="0"/>
        <v>8604472.8637679778</v>
      </c>
      <c r="M14" s="32"/>
      <c r="N14" s="35">
        <f t="shared" si="10"/>
        <v>39250</v>
      </c>
      <c r="O14" s="22">
        <f t="shared" si="1"/>
        <v>19952.709716287674</v>
      </c>
      <c r="P14" s="24">
        <f t="shared" si="2"/>
        <v>29205.686159696463</v>
      </c>
      <c r="Q14" s="25">
        <f t="shared" si="11"/>
        <v>8565222.8637679778</v>
      </c>
      <c r="R14" s="26">
        <v>10</v>
      </c>
      <c r="S14" s="27">
        <f t="shared" si="3"/>
        <v>4354124.9797725519</v>
      </c>
      <c r="T14" s="27">
        <f t="shared" si="4"/>
        <v>6373330.2126640547</v>
      </c>
      <c r="U14" s="28">
        <f t="shared" si="5"/>
        <v>4756.6352328556131</v>
      </c>
      <c r="V14" s="27">
        <f t="shared" si="6"/>
        <v>4358881.6150054075</v>
      </c>
      <c r="W14" s="27">
        <f t="shared" si="7"/>
        <v>6378086.8478969103</v>
      </c>
    </row>
    <row r="15" spans="1:23" x14ac:dyDescent="0.25">
      <c r="A15" s="34">
        <v>2023</v>
      </c>
      <c r="B15" s="30">
        <f t="shared" si="8"/>
        <v>18614.173554356428</v>
      </c>
      <c r="C15" s="31">
        <f t="shared" si="12"/>
        <v>26408.676354364903</v>
      </c>
      <c r="D15" s="32">
        <f t="shared" si="13"/>
        <v>102833.83209029445</v>
      </c>
      <c r="E15" s="32">
        <f t="shared" si="9"/>
        <v>264215.36231546156</v>
      </c>
      <c r="F15" s="36">
        <f t="shared" si="14"/>
        <v>244.79119999999989</v>
      </c>
      <c r="G15" s="32">
        <f>236.76*27.6</f>
        <v>6534.576</v>
      </c>
      <c r="H15" s="32">
        <f t="shared" si="15"/>
        <v>88909.932533481173</v>
      </c>
      <c r="I15" s="32">
        <f t="shared" si="16"/>
        <v>702886.12494931696</v>
      </c>
      <c r="J15" s="32">
        <f t="shared" si="17"/>
        <v>2408729.5507999999</v>
      </c>
      <c r="K15" s="32">
        <v>5041400</v>
      </c>
      <c r="L15" s="22">
        <f t="shared" si="0"/>
        <v>8608974.8026885539</v>
      </c>
      <c r="M15" s="32"/>
      <c r="N15" s="35">
        <f t="shared" si="10"/>
        <v>39250</v>
      </c>
      <c r="O15" s="22">
        <f t="shared" si="1"/>
        <v>18647.392258212778</v>
      </c>
      <c r="P15" s="24">
        <f t="shared" si="2"/>
        <v>28355.035106501418</v>
      </c>
      <c r="Q15" s="25">
        <f t="shared" si="11"/>
        <v>8569724.8026885539</v>
      </c>
      <c r="R15" s="26">
        <v>11</v>
      </c>
      <c r="S15" s="27">
        <f t="shared" si="3"/>
        <v>4071414.5207813643</v>
      </c>
      <c r="T15" s="27">
        <f t="shared" si="4"/>
        <v>6190951.5320583414</v>
      </c>
      <c r="U15" s="28">
        <f t="shared" si="5"/>
        <v>4720.7167359516334</v>
      </c>
      <c r="V15" s="27">
        <f t="shared" si="6"/>
        <v>4076135.2375173159</v>
      </c>
      <c r="W15" s="27">
        <f t="shared" si="7"/>
        <v>6195672.248794293</v>
      </c>
    </row>
    <row r="16" spans="1:23" x14ac:dyDescent="0.25">
      <c r="A16" s="34">
        <v>2024</v>
      </c>
      <c r="B16" s="30">
        <f t="shared" si="8"/>
        <v>18686.768831218418</v>
      </c>
      <c r="C16" s="31">
        <f t="shared" si="12"/>
        <v>26511.670192146925</v>
      </c>
      <c r="D16" s="32">
        <f t="shared" si="13"/>
        <v>103234.88403544661</v>
      </c>
      <c r="E16" s="32">
        <f t="shared" si="9"/>
        <v>265245.80222849187</v>
      </c>
      <c r="F16" s="36">
        <f t="shared" si="14"/>
        <v>245.79509999999988</v>
      </c>
      <c r="G16" s="32">
        <f>236.76*28.3</f>
        <v>6700.308</v>
      </c>
      <c r="H16" s="32">
        <f t="shared" si="15"/>
        <v>89256.681270361747</v>
      </c>
      <c r="I16" s="32">
        <f t="shared" si="16"/>
        <v>705627.3808366193</v>
      </c>
      <c r="J16" s="32">
        <f t="shared" si="17"/>
        <v>2408729.5507999999</v>
      </c>
      <c r="K16" s="32">
        <v>5041400</v>
      </c>
      <c r="L16" s="22">
        <f t="shared" si="0"/>
        <v>8613494.2991709188</v>
      </c>
      <c r="M16" s="32"/>
      <c r="N16" s="35">
        <f t="shared" si="10"/>
        <v>39250</v>
      </c>
      <c r="O16" s="22">
        <f t="shared" si="1"/>
        <v>17427.469400198861</v>
      </c>
      <c r="P16" s="24">
        <f t="shared" si="2"/>
        <v>27529.160297574199</v>
      </c>
      <c r="Q16" s="25">
        <f t="shared" si="11"/>
        <v>8574244.2991709188</v>
      </c>
      <c r="R16" s="26">
        <v>12</v>
      </c>
      <c r="S16" s="27">
        <f t="shared" si="3"/>
        <v>3807067.0102835847</v>
      </c>
      <c r="T16" s="27">
        <f t="shared" si="4"/>
        <v>6013802.4392977823</v>
      </c>
      <c r="U16" s="28">
        <f t="shared" si="5"/>
        <v>4699.4612222960195</v>
      </c>
      <c r="V16" s="27">
        <f t="shared" si="6"/>
        <v>3811766.4715058808</v>
      </c>
      <c r="W16" s="27">
        <f t="shared" si="7"/>
        <v>6018501.9005200779</v>
      </c>
    </row>
    <row r="17" spans="1:23" x14ac:dyDescent="0.25">
      <c r="A17" s="34">
        <v>2025</v>
      </c>
      <c r="B17" s="30">
        <f t="shared" si="8"/>
        <v>18759.647229660171</v>
      </c>
      <c r="C17" s="31">
        <f t="shared" si="12"/>
        <v>26615.065705896297</v>
      </c>
      <c r="D17" s="32">
        <f t="shared" si="13"/>
        <v>103637.50008318484</v>
      </c>
      <c r="E17" s="32">
        <f t="shared" si="9"/>
        <v>266280.26085718296</v>
      </c>
      <c r="F17" s="36">
        <f t="shared" si="14"/>
        <v>246.79899999999986</v>
      </c>
      <c r="G17" s="32">
        <f>236.76*28.9</f>
        <v>6842.3639999999996</v>
      </c>
      <c r="H17" s="32">
        <f t="shared" si="15"/>
        <v>89604.782327316163</v>
      </c>
      <c r="I17" s="32">
        <f t="shared" si="16"/>
        <v>708379.32762188208</v>
      </c>
      <c r="J17" s="32">
        <f t="shared" si="17"/>
        <v>2408729.5507999999</v>
      </c>
      <c r="K17" s="32">
        <v>5041400</v>
      </c>
      <c r="L17" s="22">
        <f t="shared" si="0"/>
        <v>8618031.4216895662</v>
      </c>
      <c r="M17" s="32"/>
      <c r="N17" s="35">
        <f t="shared" si="10"/>
        <v>39250</v>
      </c>
      <c r="O17" s="22">
        <f t="shared" si="1"/>
        <v>16287.354579625102</v>
      </c>
      <c r="P17" s="24">
        <f t="shared" si="2"/>
        <v>26727.340094732233</v>
      </c>
      <c r="Q17" s="25">
        <f t="shared" si="11"/>
        <v>8578781.4216895662</v>
      </c>
      <c r="R17" s="26">
        <v>13</v>
      </c>
      <c r="S17" s="27">
        <f t="shared" si="3"/>
        <v>3559889.2962078545</v>
      </c>
      <c r="T17" s="27">
        <f t="shared" si="4"/>
        <v>5841732.7046080902</v>
      </c>
      <c r="U17" s="28">
        <f t="shared" si="5"/>
        <v>4659.3169345210808</v>
      </c>
      <c r="V17" s="27">
        <f t="shared" si="6"/>
        <v>3564548.6131423758</v>
      </c>
      <c r="W17" s="27">
        <f t="shared" si="7"/>
        <v>5846392.0215426115</v>
      </c>
    </row>
    <row r="18" spans="1:23" x14ac:dyDescent="0.25">
      <c r="A18" s="34">
        <v>2026</v>
      </c>
      <c r="B18" s="30">
        <f t="shared" si="8"/>
        <v>18832.809853855848</v>
      </c>
      <c r="C18" s="31">
        <f t="shared" si="12"/>
        <v>26718.864462149293</v>
      </c>
      <c r="D18" s="32">
        <f t="shared" si="13"/>
        <v>104041.68633350926</v>
      </c>
      <c r="E18" s="32">
        <f t="shared" si="9"/>
        <v>267318.75387452601</v>
      </c>
      <c r="F18" s="36">
        <f t="shared" si="14"/>
        <v>247.80289999999985</v>
      </c>
      <c r="G18" s="32">
        <f>236.76*29.6</f>
        <v>7008.0960000000005</v>
      </c>
      <c r="H18" s="32">
        <f t="shared" si="15"/>
        <v>89954.2409783927</v>
      </c>
      <c r="I18" s="32">
        <f t="shared" si="16"/>
        <v>711142.00699960743</v>
      </c>
      <c r="J18" s="32">
        <f t="shared" si="17"/>
        <v>2408729.5507999999</v>
      </c>
      <c r="K18" s="32">
        <v>5041400</v>
      </c>
      <c r="L18" s="22">
        <f t="shared" si="0"/>
        <v>8622586.2389860358</v>
      </c>
      <c r="M18" s="32"/>
      <c r="N18" s="35">
        <f t="shared" si="10"/>
        <v>39250</v>
      </c>
      <c r="O18" s="22">
        <f t="shared" si="1"/>
        <v>15221.826709930003</v>
      </c>
      <c r="P18" s="24">
        <f t="shared" si="2"/>
        <v>25948.873878380804</v>
      </c>
      <c r="Q18" s="25">
        <f t="shared" si="11"/>
        <v>8583336.2389860358</v>
      </c>
      <c r="R18" s="26">
        <v>14</v>
      </c>
      <c r="S18" s="27">
        <f t="shared" si="3"/>
        <v>3328765.7789275865</v>
      </c>
      <c r="T18" s="27">
        <f t="shared" si="4"/>
        <v>5674596.4209218873</v>
      </c>
      <c r="U18" s="28">
        <f t="shared" si="5"/>
        <v>4633.1770504862425</v>
      </c>
      <c r="V18" s="27">
        <f t="shared" si="6"/>
        <v>3333398.9559780727</v>
      </c>
      <c r="W18" s="27">
        <f t="shared" si="7"/>
        <v>5679229.5979723735</v>
      </c>
    </row>
    <row r="19" spans="1:23" x14ac:dyDescent="0.25">
      <c r="A19" s="34">
        <v>2027</v>
      </c>
      <c r="B19" s="30">
        <f t="shared" si="8"/>
        <v>18906.257812285887</v>
      </c>
      <c r="C19" s="31">
        <f t="shared" si="12"/>
        <v>26823.068033551677</v>
      </c>
      <c r="D19" s="32">
        <f t="shared" si="13"/>
        <v>104447.44891020995</v>
      </c>
      <c r="E19" s="32">
        <f t="shared" si="9"/>
        <v>268361.29701463669</v>
      </c>
      <c r="F19" s="36">
        <f t="shared" si="14"/>
        <v>248.80679999999984</v>
      </c>
      <c r="G19" s="32">
        <f>236.76*30.2</f>
        <v>7150.1519999999991</v>
      </c>
      <c r="H19" s="32">
        <f t="shared" si="15"/>
        <v>90305.062518208433</v>
      </c>
      <c r="I19" s="32">
        <f t="shared" si="16"/>
        <v>713915.46082690591</v>
      </c>
      <c r="J19" s="32">
        <f t="shared" si="17"/>
        <v>2408729.5507999999</v>
      </c>
      <c r="K19" s="32">
        <v>5041400</v>
      </c>
      <c r="L19" s="22">
        <f t="shared" si="0"/>
        <v>8627158.8200699612</v>
      </c>
      <c r="M19" s="32"/>
      <c r="N19" s="35">
        <f t="shared" si="10"/>
        <v>39250</v>
      </c>
      <c r="O19" s="22">
        <f t="shared" si="1"/>
        <v>14226.006270962616</v>
      </c>
      <c r="P19" s="24">
        <f t="shared" si="2"/>
        <v>25193.081435321168</v>
      </c>
      <c r="Q19" s="25">
        <f t="shared" si="11"/>
        <v>8587908.8200699612</v>
      </c>
      <c r="R19" s="26">
        <v>15</v>
      </c>
      <c r="S19" s="27">
        <f t="shared" si="3"/>
        <v>3112653.368885871</v>
      </c>
      <c r="T19" s="27">
        <f t="shared" si="4"/>
        <v>5512251.8793155532</v>
      </c>
      <c r="U19" s="28">
        <f t="shared" si="5"/>
        <v>4589.410486902535</v>
      </c>
      <c r="V19" s="27">
        <f t="shared" si="6"/>
        <v>3117242.7793727736</v>
      </c>
      <c r="W19" s="27">
        <f t="shared" si="7"/>
        <v>5516841.2898024553</v>
      </c>
    </row>
    <row r="20" spans="1:23" x14ac:dyDescent="0.25">
      <c r="A20" s="34">
        <v>2028</v>
      </c>
      <c r="B20" s="30">
        <f t="shared" si="8"/>
        <v>18979.992217753803</v>
      </c>
      <c r="C20" s="31">
        <f t="shared" si="12"/>
        <v>26927.677998882529</v>
      </c>
      <c r="D20" s="32">
        <f t="shared" si="13"/>
        <v>104854.79396095977</v>
      </c>
      <c r="E20" s="32">
        <f t="shared" si="9"/>
        <v>269407.90607299376</v>
      </c>
      <c r="F20" s="36">
        <f t="shared" si="14"/>
        <v>249.81069999999983</v>
      </c>
      <c r="G20" s="32">
        <f>236.76*30.9</f>
        <v>7315.8839999999991</v>
      </c>
      <c r="H20" s="32">
        <f t="shared" si="15"/>
        <v>90657.252262029448</v>
      </c>
      <c r="I20" s="32">
        <f t="shared" si="16"/>
        <v>716699.73112413089</v>
      </c>
      <c r="J20" s="32">
        <f t="shared" si="17"/>
        <v>2408729.5507999999</v>
      </c>
      <c r="K20" s="32">
        <v>5041400</v>
      </c>
      <c r="L20" s="22">
        <f t="shared" si="0"/>
        <v>8631749.2342201136</v>
      </c>
      <c r="M20" s="32"/>
      <c r="N20" s="35">
        <f t="shared" si="10"/>
        <v>39250</v>
      </c>
      <c r="O20" s="22">
        <f t="shared" si="1"/>
        <v>13295.332963516466</v>
      </c>
      <c r="P20" s="24">
        <f t="shared" si="2"/>
        <v>24459.302364389489</v>
      </c>
      <c r="Q20" s="25">
        <f t="shared" si="11"/>
        <v>8592499.2342201136</v>
      </c>
      <c r="R20" s="26">
        <v>16</v>
      </c>
      <c r="S20" s="27">
        <f t="shared" si="3"/>
        <v>2910576.7721711253</v>
      </c>
      <c r="T20" s="27">
        <f t="shared" si="4"/>
        <v>5354561.448040125</v>
      </c>
      <c r="U20" s="28">
        <f t="shared" si="5"/>
        <v>4559.0170399694071</v>
      </c>
      <c r="V20" s="27">
        <f t="shared" si="6"/>
        <v>2915135.7892110948</v>
      </c>
      <c r="W20" s="27">
        <f t="shared" si="7"/>
        <v>5359120.4650800945</v>
      </c>
    </row>
    <row r="21" spans="1:23" x14ac:dyDescent="0.25">
      <c r="A21" s="34">
        <v>2029</v>
      </c>
      <c r="B21" s="30">
        <f t="shared" si="8"/>
        <v>19054.014187403041</v>
      </c>
      <c r="C21" s="31">
        <f t="shared" si="12"/>
        <v>27032.695943078172</v>
      </c>
      <c r="D21" s="32">
        <f t="shared" si="13"/>
        <v>105263.72765740751</v>
      </c>
      <c r="E21" s="32">
        <f t="shared" si="9"/>
        <v>270458.5969066784</v>
      </c>
      <c r="F21" s="36">
        <f t="shared" si="14"/>
        <v>250.81459999999981</v>
      </c>
      <c r="G21" s="32">
        <f>236.76*31.5</f>
        <v>7457.94</v>
      </c>
      <c r="H21" s="32">
        <f t="shared" si="15"/>
        <v>91010.815545851365</v>
      </c>
      <c r="I21" s="32">
        <f t="shared" si="16"/>
        <v>719494.860075515</v>
      </c>
      <c r="J21" s="32">
        <f t="shared" si="17"/>
        <v>2408729.5507999999</v>
      </c>
      <c r="K21" s="32">
        <v>5041400</v>
      </c>
      <c r="L21" s="22">
        <f t="shared" si="0"/>
        <v>8636357.5509854518</v>
      </c>
      <c r="M21" s="32"/>
      <c r="N21" s="35">
        <f t="shared" si="10"/>
        <v>39250</v>
      </c>
      <c r="O21" s="22">
        <f t="shared" si="1"/>
        <v>12425.544825716324</v>
      </c>
      <c r="P21" s="24">
        <f t="shared" si="2"/>
        <v>23746.89549940727</v>
      </c>
      <c r="Q21" s="25">
        <f t="shared" si="11"/>
        <v>8597107.5509854518</v>
      </c>
      <c r="R21" s="26">
        <v>17</v>
      </c>
      <c r="S21" s="27">
        <f t="shared" si="3"/>
        <v>2721624.0827076184</v>
      </c>
      <c r="T21" s="27">
        <f t="shared" si="4"/>
        <v>5201391.4550424637</v>
      </c>
      <c r="U21" s="28">
        <f t="shared" si="5"/>
        <v>4512.1763521235525</v>
      </c>
      <c r="V21" s="27">
        <f t="shared" si="6"/>
        <v>2726136.2590597421</v>
      </c>
      <c r="W21" s="27">
        <f t="shared" si="7"/>
        <v>5205903.6313945875</v>
      </c>
    </row>
    <row r="22" spans="1:23" x14ac:dyDescent="0.25">
      <c r="A22" s="34">
        <v>2030</v>
      </c>
      <c r="B22" s="30">
        <f t="shared" si="8"/>
        <v>19128.324842733913</v>
      </c>
      <c r="C22" s="31">
        <f t="shared" si="12"/>
        <v>27138.123457256177</v>
      </c>
      <c r="D22" s="32">
        <f t="shared" si="13"/>
        <v>105674.2561952714</v>
      </c>
      <c r="E22" s="32">
        <f t="shared" si="9"/>
        <v>271513.38543461449</v>
      </c>
      <c r="F22" s="36">
        <f t="shared" si="14"/>
        <v>251.8184999999998</v>
      </c>
      <c r="G22" s="32">
        <f>236.76*32.1</f>
        <v>7599.9960000000001</v>
      </c>
      <c r="H22" s="32">
        <f t="shared" si="15"/>
        <v>91365.75772648018</v>
      </c>
      <c r="I22" s="32">
        <f t="shared" si="16"/>
        <v>722300.89002980955</v>
      </c>
      <c r="J22" s="32">
        <f t="shared" si="17"/>
        <v>2408729.5507999999</v>
      </c>
      <c r="K22" s="32">
        <v>5041400</v>
      </c>
      <c r="L22" s="22">
        <f t="shared" si="0"/>
        <v>8640983.840186175</v>
      </c>
      <c r="M22" s="32"/>
      <c r="N22" s="35">
        <f t="shared" si="10"/>
        <v>39250</v>
      </c>
      <c r="O22" s="22">
        <f t="shared" si="1"/>
        <v>11612.658715622732</v>
      </c>
      <c r="P22" s="24">
        <f t="shared" si="2"/>
        <v>23055.238348939096</v>
      </c>
      <c r="Q22" s="25">
        <f t="shared" si="11"/>
        <v>8601733.840186175</v>
      </c>
      <c r="R22" s="26">
        <v>18</v>
      </c>
      <c r="S22" s="27">
        <f t="shared" si="3"/>
        <v>2544942.6611135025</v>
      </c>
      <c r="T22" s="27">
        <f t="shared" si="4"/>
        <v>5052612.0738758594</v>
      </c>
      <c r="U22" s="28">
        <f t="shared" si="5"/>
        <v>4464.1966683053188</v>
      </c>
      <c r="V22" s="27">
        <f t="shared" si="6"/>
        <v>2549406.8577818079</v>
      </c>
      <c r="W22" s="27">
        <f t="shared" si="7"/>
        <v>5057076.2705441648</v>
      </c>
    </row>
    <row r="23" spans="1:23" x14ac:dyDescent="0.25">
      <c r="A23" s="34">
        <v>2031</v>
      </c>
      <c r="B23" s="30">
        <f t="shared" si="8"/>
        <v>19202.925309620576</v>
      </c>
      <c r="C23" s="31">
        <f t="shared" si="12"/>
        <v>27243.962138739476</v>
      </c>
      <c r="D23" s="32">
        <f t="shared" si="13"/>
        <v>106086.38579443296</v>
      </c>
      <c r="E23" s="32">
        <f t="shared" si="9"/>
        <v>272572.28763780952</v>
      </c>
      <c r="F23" s="36">
        <f t="shared" si="14"/>
        <v>252.82239999999979</v>
      </c>
      <c r="G23" s="32">
        <f>236.76*32.8</f>
        <v>7765.7279999999992</v>
      </c>
      <c r="H23" s="32">
        <f t="shared" si="15"/>
        <v>91722.084181613449</v>
      </c>
      <c r="I23" s="32">
        <f t="shared" si="16"/>
        <v>725117.86350092583</v>
      </c>
      <c r="J23" s="32">
        <f t="shared" si="17"/>
        <v>2408729.5507999999</v>
      </c>
      <c r="K23" s="32">
        <v>5041400</v>
      </c>
      <c r="L23" s="22">
        <f t="shared" si="0"/>
        <v>8645628.1719147824</v>
      </c>
      <c r="M23" s="32"/>
      <c r="N23" s="35">
        <f t="shared" si="10"/>
        <v>39250</v>
      </c>
      <c r="O23" s="22">
        <f t="shared" si="1"/>
        <v>10852.95207067545</v>
      </c>
      <c r="P23" s="24">
        <f t="shared" si="2"/>
        <v>22383.726552368058</v>
      </c>
      <c r="Q23" s="25">
        <f t="shared" si="11"/>
        <v>8606378.1719147824</v>
      </c>
      <c r="R23" s="26">
        <v>19</v>
      </c>
      <c r="S23" s="27">
        <f t="shared" si="3"/>
        <v>2379735.2815770325</v>
      </c>
      <c r="T23" s="27">
        <f t="shared" si="4"/>
        <v>4908097.2129021594</v>
      </c>
      <c r="U23" s="28">
        <f t="shared" si="5"/>
        <v>4428.686166422116</v>
      </c>
      <c r="V23" s="27">
        <f t="shared" si="6"/>
        <v>2384163.9677434545</v>
      </c>
      <c r="W23" s="27">
        <f t="shared" si="7"/>
        <v>4912525.8990685819</v>
      </c>
    </row>
    <row r="24" spans="1:23" x14ac:dyDescent="0.25">
      <c r="A24" s="34">
        <v>2032</v>
      </c>
      <c r="B24" s="30">
        <f t="shared" si="8"/>
        <v>19277.816718328097</v>
      </c>
      <c r="C24" s="31">
        <f t="shared" si="12"/>
        <v>27350.213591080559</v>
      </c>
      <c r="D24" s="32">
        <f t="shared" si="13"/>
        <v>106500.12269903126</v>
      </c>
      <c r="E24" s="32">
        <f t="shared" si="9"/>
        <v>273635.31955959694</v>
      </c>
      <c r="F24" s="36">
        <f t="shared" si="14"/>
        <v>253.82629999999978</v>
      </c>
      <c r="G24" s="32">
        <f>236.76*33.4</f>
        <v>7907.7839999999997</v>
      </c>
      <c r="H24" s="32">
        <f t="shared" si="15"/>
        <v>92079.800309921746</v>
      </c>
      <c r="I24" s="32">
        <f t="shared" si="16"/>
        <v>727945.82316857949</v>
      </c>
      <c r="J24" s="32">
        <f t="shared" si="17"/>
        <v>2408729.5507999999</v>
      </c>
      <c r="K24" s="32">
        <v>5041400</v>
      </c>
      <c r="L24" s="22">
        <f t="shared" si="0"/>
        <v>8650290.6165371295</v>
      </c>
      <c r="M24" s="32"/>
      <c r="N24" s="35">
        <f t="shared" si="10"/>
        <v>39250</v>
      </c>
      <c r="O24" s="22">
        <f t="shared" si="1"/>
        <v>10142.945860444346</v>
      </c>
      <c r="P24" s="24">
        <f t="shared" si="2"/>
        <v>21731.773351813648</v>
      </c>
      <c r="Q24" s="25">
        <f t="shared" si="11"/>
        <v>8611040.6165371295</v>
      </c>
      <c r="R24" s="26">
        <v>20</v>
      </c>
      <c r="S24" s="27">
        <f t="shared" si="3"/>
        <v>2225256.5293152463</v>
      </c>
      <c r="T24" s="27">
        <f t="shared" si="4"/>
        <v>4767724.4076903583</v>
      </c>
      <c r="U24" s="28">
        <f t="shared" si="5"/>
        <v>4378.3482701426328</v>
      </c>
      <c r="V24" s="27">
        <f t="shared" si="6"/>
        <v>2229634.8775853887</v>
      </c>
      <c r="W24" s="27">
        <f t="shared" si="7"/>
        <v>4772102.7559605008</v>
      </c>
    </row>
    <row r="25" spans="1:23" x14ac:dyDescent="0.25">
      <c r="A25" s="34">
        <v>2033</v>
      </c>
      <c r="B25" s="30">
        <f t="shared" si="8"/>
        <v>19353.000203529577</v>
      </c>
      <c r="C25" s="31">
        <f t="shared" si="12"/>
        <v>27456.879424085775</v>
      </c>
      <c r="D25" s="32">
        <f t="shared" si="13"/>
        <v>106915.47317755748</v>
      </c>
      <c r="E25" s="32">
        <f t="shared" si="9"/>
        <v>274702.49730587931</v>
      </c>
      <c r="F25" s="36">
        <f t="shared" si="14"/>
        <v>254.83019999999976</v>
      </c>
      <c r="G25" s="32">
        <f>236.76*34.1</f>
        <v>8073.5159999999996</v>
      </c>
      <c r="H25" s="32">
        <f t="shared" si="15"/>
        <v>92438.911531130449</v>
      </c>
      <c r="I25" s="32">
        <f t="shared" si="16"/>
        <v>730784.81187893695</v>
      </c>
      <c r="J25" s="32">
        <f t="shared" si="17"/>
        <v>2408729.5507999999</v>
      </c>
      <c r="K25" s="32">
        <v>5041400</v>
      </c>
      <c r="L25" s="22">
        <f t="shared" si="0"/>
        <v>8654971.2446935028</v>
      </c>
      <c r="M25" s="32"/>
      <c r="N25" s="35">
        <f t="shared" si="10"/>
        <v>39250</v>
      </c>
      <c r="O25" s="22">
        <f t="shared" si="1"/>
        <v>9479.3886546208832</v>
      </c>
      <c r="P25" s="24">
        <f t="shared" si="2"/>
        <v>21098.809079430728</v>
      </c>
      <c r="Q25" s="25">
        <f t="shared" si="11"/>
        <v>8615721.2446935028</v>
      </c>
      <c r="R25" s="26">
        <v>21</v>
      </c>
      <c r="S25" s="27">
        <f t="shared" si="3"/>
        <v>2080809.4323139798</v>
      </c>
      <c r="T25" s="27">
        <f t="shared" si="4"/>
        <v>4631374.716519325</v>
      </c>
      <c r="U25" s="28">
        <f t="shared" si="5"/>
        <v>4339.9126798402358</v>
      </c>
      <c r="V25" s="27">
        <f t="shared" si="6"/>
        <v>2085149.3449938202</v>
      </c>
      <c r="W25" s="27">
        <f t="shared" si="7"/>
        <v>4635714.6291991649</v>
      </c>
    </row>
    <row r="26" spans="1:23" x14ac:dyDescent="0.25">
      <c r="A26" s="34">
        <v>2034</v>
      </c>
      <c r="B26" s="30">
        <f t="shared" si="8"/>
        <v>19428.476904323343</v>
      </c>
      <c r="C26" s="31">
        <f t="shared" si="12"/>
        <v>27563.961253839709</v>
      </c>
      <c r="D26" s="32">
        <f t="shared" si="13"/>
        <v>107332.44352294995</v>
      </c>
      <c r="E26" s="32">
        <f t="shared" si="9"/>
        <v>275773.83704537229</v>
      </c>
      <c r="F26" s="36">
        <f t="shared" si="14"/>
        <v>255.83409999999975</v>
      </c>
      <c r="G26" s="32">
        <f>236.76*34.7</f>
        <v>8215.5720000000001</v>
      </c>
      <c r="H26" s="32">
        <f t="shared" si="15"/>
        <v>92799.423286101854</v>
      </c>
      <c r="I26" s="32">
        <f t="shared" si="16"/>
        <v>733634.87264526484</v>
      </c>
      <c r="J26" s="32">
        <f t="shared" si="17"/>
        <v>2408729.5507999999</v>
      </c>
      <c r="K26" s="32">
        <v>5041400</v>
      </c>
      <c r="L26" s="22">
        <f t="shared" si="0"/>
        <v>8659670.1272996888</v>
      </c>
      <c r="M26" s="32"/>
      <c r="N26" s="35">
        <f t="shared" si="10"/>
        <v>39250</v>
      </c>
      <c r="O26" s="22">
        <f t="shared" si="1"/>
        <v>8859.2417332905461</v>
      </c>
      <c r="P26" s="24">
        <f t="shared" si="2"/>
        <v>20484.280659641481</v>
      </c>
      <c r="Q26" s="25">
        <f t="shared" si="11"/>
        <v>8620420.1272996888</v>
      </c>
      <c r="R26" s="26">
        <v>22</v>
      </c>
      <c r="S26" s="27">
        <f t="shared" si="3"/>
        <v>1945742.3121088205</v>
      </c>
      <c r="T26" s="27">
        <f t="shared" si="4"/>
        <v>4498932.618895011</v>
      </c>
      <c r="U26" s="28">
        <f t="shared" si="5"/>
        <v>4287.6454172609447</v>
      </c>
      <c r="V26" s="27">
        <f t="shared" si="6"/>
        <v>1950029.9575260815</v>
      </c>
      <c r="W26" s="27">
        <f t="shared" si="7"/>
        <v>4503220.264312272</v>
      </c>
    </row>
    <row r="27" spans="1:23" x14ac:dyDescent="0.25">
      <c r="A27" s="37">
        <v>2024</v>
      </c>
      <c r="B27" s="30">
        <f t="shared" si="8"/>
        <v>19504.247964250204</v>
      </c>
      <c r="C27" s="31">
        <f t="shared" si="12"/>
        <v>27671.460702729684</v>
      </c>
      <c r="D27" s="32">
        <f t="shared" si="13"/>
        <v>107751.04005268945</v>
      </c>
      <c r="E27" s="32">
        <f t="shared" si="9"/>
        <v>276849.35500984924</v>
      </c>
      <c r="F27" s="36">
        <f t="shared" si="14"/>
        <v>256.83799999999974</v>
      </c>
      <c r="G27" s="32">
        <f>236.76*34.7</f>
        <v>8215.5720000000001</v>
      </c>
      <c r="H27" s="32">
        <f t="shared" si="15"/>
        <v>93161.341036917656</v>
      </c>
      <c r="I27" s="32">
        <f t="shared" si="16"/>
        <v>736496.04864858137</v>
      </c>
      <c r="J27" s="32">
        <f t="shared" si="17"/>
        <v>2408729.5507999999</v>
      </c>
      <c r="K27" s="32">
        <v>5041400</v>
      </c>
      <c r="L27" s="22">
        <f t="shared" si="0"/>
        <v>8664387.3355480377</v>
      </c>
      <c r="M27" s="38">
        <f>890000*(8/30)*(-1)</f>
        <v>-237333.33333333334</v>
      </c>
      <c r="N27" s="35">
        <f t="shared" si="10"/>
        <v>39250</v>
      </c>
      <c r="O27" s="22">
        <f t="shared" si="1"/>
        <v>-41785.061809297433</v>
      </c>
      <c r="P27" s="24">
        <f t="shared" si="2"/>
        <v>-100367.19050144868</v>
      </c>
      <c r="Q27" s="25">
        <f t="shared" si="11"/>
        <v>8862470.6688813716</v>
      </c>
      <c r="R27" s="26">
        <v>23</v>
      </c>
      <c r="S27" s="27">
        <f t="shared" si="3"/>
        <v>1869510.5663388828</v>
      </c>
      <c r="T27" s="27">
        <f t="shared" si="4"/>
        <v>4490540.7586223874</v>
      </c>
      <c r="U27" s="28">
        <f t="shared" si="5"/>
        <v>4162.7625410300434</v>
      </c>
      <c r="V27" s="27">
        <f t="shared" si="6"/>
        <v>1873673.3288799128</v>
      </c>
      <c r="W27" s="27">
        <f t="shared" si="7"/>
        <v>4494703.521163417</v>
      </c>
    </row>
    <row r="28" spans="1:23" x14ac:dyDescent="0.25">
      <c r="A28" s="39" t="s">
        <v>49</v>
      </c>
      <c r="B28" s="40"/>
      <c r="C28" s="40">
        <f t="shared" ref="C28:Q28" si="18">SUM(C4:C27)</f>
        <v>559071.64088982611</v>
      </c>
      <c r="D28" s="41">
        <f t="shared" si="18"/>
        <v>2176992.0792038273</v>
      </c>
      <c r="E28" s="41">
        <f t="shared" si="18"/>
        <v>5593438.8447147682</v>
      </c>
      <c r="F28" s="40">
        <f t="shared" si="18"/>
        <v>5182.7789999999968</v>
      </c>
      <c r="G28" s="41">
        <f t="shared" si="18"/>
        <v>144281.54399999999</v>
      </c>
      <c r="H28" s="41">
        <f t="shared" si="18"/>
        <v>1882223.1453747719</v>
      </c>
      <c r="I28" s="41">
        <f t="shared" si="18"/>
        <v>14880098.266233472</v>
      </c>
      <c r="J28" s="41">
        <f t="shared" si="18"/>
        <v>50573963.016000018</v>
      </c>
      <c r="K28" s="41">
        <f t="shared" si="18"/>
        <v>105869400</v>
      </c>
      <c r="L28" s="41">
        <f t="shared" si="18"/>
        <v>180976115.35152683</v>
      </c>
      <c r="M28" s="40">
        <f t="shared" si="18"/>
        <v>7762666.666666667</v>
      </c>
      <c r="N28" s="42">
        <f t="shared" si="18"/>
        <v>824250</v>
      </c>
      <c r="O28" s="42">
        <f t="shared" si="18"/>
        <v>7476411.7755882991</v>
      </c>
      <c r="P28" s="42">
        <f t="shared" si="18"/>
        <v>8067084.3961446844</v>
      </c>
      <c r="Q28" s="41">
        <f t="shared" si="18"/>
        <v>180389198.68486017</v>
      </c>
      <c r="R28" s="40"/>
      <c r="S28" s="41">
        <f>SUM(S4:S27)</f>
        <v>81133414.335017994</v>
      </c>
      <c r="T28" s="41">
        <f>SUM(T4:T27)</f>
        <v>124696203.2550057</v>
      </c>
      <c r="U28" s="41">
        <f>SUM(U4:U27)</f>
        <v>97591.395477644895</v>
      </c>
      <c r="V28" s="41">
        <f>SUM(V4:V27)</f>
        <v>81231005.730495691</v>
      </c>
      <c r="W28" s="41">
        <f>SUM(W4:W27)</f>
        <v>124793794.65048335</v>
      </c>
    </row>
    <row r="29" spans="1:23" s="49" customFormat="1" x14ac:dyDescent="0.25">
      <c r="A29" s="43" t="s">
        <v>50</v>
      </c>
      <c r="B29" s="44"/>
      <c r="C29" s="44"/>
      <c r="D29" s="45"/>
      <c r="E29" s="45"/>
      <c r="F29" s="44"/>
      <c r="G29" s="44"/>
      <c r="H29" s="44"/>
      <c r="I29" s="45"/>
      <c r="J29" s="45"/>
      <c r="K29" s="45"/>
      <c r="L29" s="45"/>
      <c r="M29" s="43" t="s">
        <v>50</v>
      </c>
      <c r="N29" s="45"/>
      <c r="O29" s="45"/>
      <c r="P29" s="45"/>
      <c r="Q29" s="45"/>
      <c r="R29" s="46"/>
      <c r="S29" s="47"/>
      <c r="T29" s="47"/>
      <c r="U29" s="48"/>
      <c r="V29" s="47"/>
      <c r="W29" s="47"/>
    </row>
    <row r="30" spans="1:23" s="49" customFormat="1" ht="12.75" customHeight="1" x14ac:dyDescent="0.25">
      <c r="A30" s="50"/>
      <c r="B30" s="51"/>
      <c r="C30" s="51"/>
      <c r="D30" s="52"/>
      <c r="E30" s="52"/>
      <c r="F30" s="51"/>
      <c r="G30" s="51"/>
      <c r="H30" s="51"/>
      <c r="I30" s="52"/>
      <c r="J30" s="52"/>
      <c r="K30" s="52"/>
      <c r="L30" s="52"/>
      <c r="M30" s="50"/>
      <c r="N30" s="52"/>
      <c r="O30" s="52"/>
      <c r="P30" s="52"/>
      <c r="Q30" s="52"/>
      <c r="R30" s="53"/>
      <c r="S30" s="54" t="s">
        <v>51</v>
      </c>
      <c r="T30" s="55"/>
      <c r="U30" s="56"/>
      <c r="V30" s="54" t="s">
        <v>52</v>
      </c>
      <c r="W30" s="55"/>
    </row>
    <row r="31" spans="1:23" s="57" customFormat="1" x14ac:dyDescent="0.25">
      <c r="A31" s="57" t="s">
        <v>53</v>
      </c>
      <c r="J31" s="58"/>
      <c r="M31" s="57" t="s">
        <v>54</v>
      </c>
      <c r="Q31" s="58"/>
      <c r="R31" s="46"/>
      <c r="S31" s="59" t="s">
        <v>55</v>
      </c>
      <c r="T31" s="59" t="s">
        <v>56</v>
      </c>
      <c r="U31" s="60" t="s">
        <v>57</v>
      </c>
      <c r="V31" s="59" t="s">
        <v>55</v>
      </c>
      <c r="W31" s="59" t="s">
        <v>56</v>
      </c>
    </row>
    <row r="32" spans="1:23" s="57" customFormat="1" x14ac:dyDescent="0.25">
      <c r="A32" s="57" t="s">
        <v>58</v>
      </c>
      <c r="M32" s="57" t="s">
        <v>59</v>
      </c>
      <c r="Q32" s="58"/>
      <c r="R32" s="61" t="s">
        <v>60</v>
      </c>
      <c r="S32" s="62">
        <f>S28</f>
        <v>81133414.335017994</v>
      </c>
      <c r="T32" s="62">
        <f>T28</f>
        <v>124696203.2550057</v>
      </c>
      <c r="U32" s="61" t="s">
        <v>60</v>
      </c>
      <c r="V32" s="62">
        <f>V28</f>
        <v>81231005.730495691</v>
      </c>
      <c r="W32" s="62">
        <f>W28</f>
        <v>124793794.65048335</v>
      </c>
    </row>
    <row r="33" spans="1:23" s="57" customFormat="1" x14ac:dyDescent="0.25">
      <c r="A33" s="63" t="s">
        <v>61</v>
      </c>
      <c r="M33" s="57" t="s">
        <v>62</v>
      </c>
      <c r="Q33" s="58"/>
      <c r="R33" s="61" t="s">
        <v>63</v>
      </c>
      <c r="S33" s="62">
        <f>O28</f>
        <v>7476411.7755882991</v>
      </c>
      <c r="T33" s="62">
        <f>P28</f>
        <v>8067084.3961446844</v>
      </c>
      <c r="U33" s="61" t="s">
        <v>63</v>
      </c>
      <c r="V33" s="62">
        <f>S33</f>
        <v>7476411.7755882991</v>
      </c>
      <c r="W33" s="62">
        <f>T33</f>
        <v>8067084.3961446844</v>
      </c>
    </row>
    <row r="34" spans="1:23" s="57" customFormat="1" x14ac:dyDescent="0.25">
      <c r="A34" s="63" t="s">
        <v>64</v>
      </c>
      <c r="Q34" s="58"/>
      <c r="R34" s="64" t="s">
        <v>65</v>
      </c>
      <c r="S34" s="65">
        <f>S28-O28</f>
        <v>73657002.55942969</v>
      </c>
      <c r="T34" s="65">
        <f>T28-P28</f>
        <v>116629118.85886101</v>
      </c>
      <c r="U34" s="64" t="s">
        <v>65</v>
      </c>
      <c r="V34" s="66">
        <f>V28-O28</f>
        <v>73754593.954907387</v>
      </c>
      <c r="W34" s="66">
        <f>W28-P28</f>
        <v>116726710.25433867</v>
      </c>
    </row>
    <row r="35" spans="1:23" s="57" customFormat="1" x14ac:dyDescent="0.25">
      <c r="A35" s="57" t="s">
        <v>66</v>
      </c>
      <c r="M35" s="57" t="s">
        <v>67</v>
      </c>
      <c r="Q35" s="58"/>
      <c r="R35" s="64" t="s">
        <v>68</v>
      </c>
      <c r="S35" s="67">
        <f>S28/S33</f>
        <v>10.851918911145557</v>
      </c>
      <c r="T35" s="67">
        <f>T28/T33</f>
        <v>15.457406558756084</v>
      </c>
      <c r="U35" s="64" t="s">
        <v>68</v>
      </c>
      <c r="V35" s="67">
        <f>V28/V33</f>
        <v>10.864972150909095</v>
      </c>
      <c r="W35" s="67">
        <f>W28/W33</f>
        <v>15.469504039169736</v>
      </c>
    </row>
    <row r="36" spans="1:23" s="57" customFormat="1" ht="15" x14ac:dyDescent="0.25">
      <c r="A36" s="57" t="s">
        <v>69</v>
      </c>
      <c r="M36" s="57" t="s">
        <v>70</v>
      </c>
      <c r="Q36" s="58"/>
      <c r="R36" s="58"/>
      <c r="U36" s="68"/>
    </row>
    <row r="37" spans="1:23" s="57" customFormat="1" x14ac:dyDescent="0.25">
      <c r="A37" s="69" t="s">
        <v>71</v>
      </c>
      <c r="M37" s="57" t="s">
        <v>72</v>
      </c>
      <c r="Q37" s="58"/>
      <c r="R37" s="58"/>
      <c r="U37" s="68"/>
    </row>
    <row r="38" spans="1:23" s="57" customFormat="1" ht="15" x14ac:dyDescent="0.25">
      <c r="A38" s="57" t="s">
        <v>73</v>
      </c>
      <c r="M38" s="57" t="s">
        <v>74</v>
      </c>
      <c r="Q38" s="58"/>
      <c r="R38" s="58"/>
      <c r="U38" s="68"/>
    </row>
    <row r="39" spans="1:23" s="57" customFormat="1" x14ac:dyDescent="0.25">
      <c r="A39" s="69" t="s">
        <v>75</v>
      </c>
      <c r="M39" s="57" t="s">
        <v>76</v>
      </c>
      <c r="Q39" s="58"/>
      <c r="R39" s="58"/>
      <c r="U39" s="68"/>
    </row>
    <row r="40" spans="1:23" s="57" customFormat="1" ht="15" x14ac:dyDescent="0.25">
      <c r="A40" s="70" t="s">
        <v>77</v>
      </c>
      <c r="M40" s="57" t="s">
        <v>78</v>
      </c>
      <c r="Q40" s="58"/>
      <c r="R40" s="58"/>
      <c r="U40" s="68"/>
    </row>
    <row r="41" spans="1:23" s="57" customFormat="1" ht="15" x14ac:dyDescent="0.25">
      <c r="A41" s="57" t="s">
        <v>79</v>
      </c>
      <c r="M41" s="57" t="s">
        <v>80</v>
      </c>
      <c r="Q41" s="58"/>
      <c r="R41" s="58"/>
      <c r="U41" s="68"/>
    </row>
    <row r="42" spans="1:23" s="57" customFormat="1" ht="15" x14ac:dyDescent="0.25">
      <c r="A42" s="70" t="s">
        <v>81</v>
      </c>
      <c r="M42" s="57" t="s">
        <v>82</v>
      </c>
      <c r="Q42" s="58"/>
      <c r="R42" s="58"/>
      <c r="U42" s="68"/>
    </row>
    <row r="43" spans="1:23" s="57" customFormat="1" ht="15" x14ac:dyDescent="0.25">
      <c r="A43" s="57" t="s">
        <v>83</v>
      </c>
      <c r="M43" s="57" t="s">
        <v>84</v>
      </c>
      <c r="Q43" s="58"/>
      <c r="R43" s="58"/>
      <c r="U43" s="68"/>
    </row>
    <row r="44" spans="1:23" s="57" customFormat="1" ht="15" x14ac:dyDescent="0.25">
      <c r="A44" s="57" t="s">
        <v>85</v>
      </c>
      <c r="M44" s="57" t="s">
        <v>86</v>
      </c>
      <c r="Q44" s="58"/>
      <c r="R44" s="58"/>
      <c r="U44" s="68"/>
    </row>
    <row r="45" spans="1:23" s="57" customFormat="1" ht="15" x14ac:dyDescent="0.25">
      <c r="A45" s="57" t="s">
        <v>87</v>
      </c>
      <c r="M45" s="57" t="s">
        <v>88</v>
      </c>
      <c r="Q45" s="58"/>
      <c r="R45" s="58"/>
      <c r="U45" s="68"/>
    </row>
    <row r="46" spans="1:23" s="57" customFormat="1" ht="15" x14ac:dyDescent="0.25">
      <c r="A46" s="57" t="s">
        <v>89</v>
      </c>
      <c r="Q46" s="58"/>
      <c r="R46" s="58"/>
      <c r="U46" s="68"/>
    </row>
  </sheetData>
  <mergeCells count="2">
    <mergeCell ref="A1:L1"/>
    <mergeCell ref="M1:W1"/>
  </mergeCells>
  <pageMargins left="0.80972222222222201" right="0.7" top="0.45972222222222198" bottom="0.65972222222222199"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0"/>
  <sheetViews>
    <sheetView topLeftCell="A2" zoomScaleNormal="100" workbookViewId="0">
      <selection activeCell="F21" sqref="F21"/>
    </sheetView>
  </sheetViews>
  <sheetFormatPr defaultRowHeight="15.75" x14ac:dyDescent="0.25"/>
  <cols>
    <col min="1" max="2" width="9.140625" style="7"/>
    <col min="3" max="3" width="28.85546875" style="7"/>
    <col min="4" max="4" width="14.28515625" style="7"/>
    <col min="5" max="5" width="13.140625" style="7"/>
    <col min="6" max="6" width="12.5703125" style="7"/>
    <col min="7" max="7" width="13.28515625" style="7"/>
    <col min="8" max="8" width="12" style="7" bestFit="1" customWidth="1"/>
    <col min="9" max="9" width="14" style="7"/>
    <col min="10" max="1025" width="9.140625" style="7"/>
  </cols>
  <sheetData>
    <row r="2" spans="3:9" x14ac:dyDescent="0.25">
      <c r="C2" s="71" t="s">
        <v>90</v>
      </c>
      <c r="I2" s="72"/>
    </row>
    <row r="3" spans="3:9" ht="3.75" customHeight="1" x14ac:dyDescent="0.25">
      <c r="I3" s="72"/>
    </row>
    <row r="4" spans="3:9" s="73" customFormat="1" ht="63" x14ac:dyDescent="0.25">
      <c r="C4" s="214" t="s">
        <v>91</v>
      </c>
      <c r="D4" s="215" t="s">
        <v>92</v>
      </c>
      <c r="E4" s="215" t="s">
        <v>93</v>
      </c>
      <c r="F4" s="215" t="s">
        <v>94</v>
      </c>
      <c r="G4" s="215" t="s">
        <v>95</v>
      </c>
      <c r="H4" s="215" t="s">
        <v>96</v>
      </c>
      <c r="I4" s="216" t="s">
        <v>97</v>
      </c>
    </row>
    <row r="5" spans="3:9" ht="31.5" x14ac:dyDescent="0.25">
      <c r="C5" s="214" t="s">
        <v>98</v>
      </c>
      <c r="D5" s="217">
        <f t="shared" ref="D5:D11" si="0">SUM(E5:F5)</f>
        <v>278000</v>
      </c>
      <c r="E5" s="217">
        <v>160000</v>
      </c>
      <c r="F5" s="217">
        <f t="shared" ref="F5:F11" si="1">SUM(G5:H5)</f>
        <v>118000</v>
      </c>
      <c r="G5" s="217">
        <v>0</v>
      </c>
      <c r="H5" s="217">
        <v>118000</v>
      </c>
      <c r="I5" s="218">
        <v>2011</v>
      </c>
    </row>
    <row r="6" spans="3:9" x14ac:dyDescent="0.25">
      <c r="C6" s="214" t="s">
        <v>99</v>
      </c>
      <c r="D6" s="217">
        <f t="shared" si="0"/>
        <v>576000</v>
      </c>
      <c r="E6" s="217">
        <v>201000</v>
      </c>
      <c r="F6" s="217">
        <f t="shared" si="1"/>
        <v>375000</v>
      </c>
      <c r="G6" s="217">
        <v>0</v>
      </c>
      <c r="H6" s="217">
        <v>375000</v>
      </c>
      <c r="I6" s="218">
        <v>2012</v>
      </c>
    </row>
    <row r="7" spans="3:9" ht="31.5" x14ac:dyDescent="0.25">
      <c r="C7" s="214" t="s">
        <v>100</v>
      </c>
      <c r="D7" s="217">
        <f t="shared" si="0"/>
        <v>218000</v>
      </c>
      <c r="E7" s="217">
        <v>87200</v>
      </c>
      <c r="F7" s="217">
        <f t="shared" si="1"/>
        <v>130800</v>
      </c>
      <c r="G7" s="217">
        <v>0</v>
      </c>
      <c r="H7" s="217">
        <v>130800</v>
      </c>
      <c r="I7" s="218" t="s">
        <v>101</v>
      </c>
    </row>
    <row r="8" spans="3:9" ht="31.5" x14ac:dyDescent="0.25">
      <c r="C8" s="214" t="s">
        <v>102</v>
      </c>
      <c r="D8" s="217">
        <f t="shared" si="0"/>
        <v>142000</v>
      </c>
      <c r="E8" s="217">
        <v>55000</v>
      </c>
      <c r="F8" s="217">
        <f t="shared" si="1"/>
        <v>87000</v>
      </c>
      <c r="G8" s="217">
        <v>0</v>
      </c>
      <c r="H8" s="217">
        <v>87000</v>
      </c>
      <c r="I8" s="218">
        <v>2013</v>
      </c>
    </row>
    <row r="9" spans="3:9" ht="78.75" x14ac:dyDescent="0.25">
      <c r="C9" s="214" t="s">
        <v>103</v>
      </c>
      <c r="D9" s="217">
        <f t="shared" si="0"/>
        <v>76000</v>
      </c>
      <c r="E9" s="217">
        <v>30400</v>
      </c>
      <c r="F9" s="217">
        <f t="shared" si="1"/>
        <v>45600</v>
      </c>
      <c r="G9" s="217">
        <v>0</v>
      </c>
      <c r="H9" s="217">
        <v>45600</v>
      </c>
      <c r="I9" s="218">
        <v>2011</v>
      </c>
    </row>
    <row r="10" spans="3:9" ht="31.5" x14ac:dyDescent="0.25">
      <c r="C10" s="214" t="s">
        <v>104</v>
      </c>
      <c r="D10" s="217">
        <f t="shared" si="0"/>
        <v>310000</v>
      </c>
      <c r="E10" s="217">
        <v>300000</v>
      </c>
      <c r="F10" s="217">
        <f t="shared" si="1"/>
        <v>10000</v>
      </c>
      <c r="G10" s="217">
        <v>0</v>
      </c>
      <c r="H10" s="217">
        <v>10000</v>
      </c>
      <c r="I10" s="218">
        <v>2013</v>
      </c>
    </row>
    <row r="11" spans="3:9" ht="47.25" x14ac:dyDescent="0.25">
      <c r="C11" s="214" t="s">
        <v>105</v>
      </c>
      <c r="D11" s="217">
        <f t="shared" si="0"/>
        <v>6400000</v>
      </c>
      <c r="E11" s="217">
        <v>2100000</v>
      </c>
      <c r="F11" s="217">
        <f t="shared" si="1"/>
        <v>4300000</v>
      </c>
      <c r="G11" s="217">
        <v>2800000</v>
      </c>
      <c r="H11" s="217">
        <v>1500000</v>
      </c>
      <c r="I11" s="218">
        <v>2015</v>
      </c>
    </row>
    <row r="12" spans="3:9" x14ac:dyDescent="0.25">
      <c r="C12" s="221" t="s">
        <v>265</v>
      </c>
      <c r="D12" s="219">
        <f>SUM(D5:D11)</f>
        <v>8000000</v>
      </c>
      <c r="E12" s="219">
        <f>SUM(E5:E11)</f>
        <v>2933600</v>
      </c>
      <c r="F12" s="219">
        <f>SUM(F5:F11)</f>
        <v>5066400</v>
      </c>
      <c r="G12" s="219">
        <f>SUM(G5:G11)</f>
        <v>2800000</v>
      </c>
      <c r="H12" s="219">
        <f>SUM(H5:H11)</f>
        <v>2266400</v>
      </c>
      <c r="I12" s="220"/>
    </row>
    <row r="13" spans="3:9" ht="31.5" x14ac:dyDescent="0.25">
      <c r="C13" s="73" t="s">
        <v>106</v>
      </c>
      <c r="D13" s="74">
        <v>1054662</v>
      </c>
      <c r="I13" s="72"/>
    </row>
    <row r="14" spans="3:9" x14ac:dyDescent="0.25">
      <c r="C14" s="73" t="s">
        <v>107</v>
      </c>
      <c r="D14" s="75">
        <f>SUM(D12:D13)</f>
        <v>9054662</v>
      </c>
      <c r="I14" s="72"/>
    </row>
    <row r="15" spans="3:9" x14ac:dyDescent="0.25">
      <c r="C15" s="69"/>
      <c r="D15" s="69"/>
      <c r="E15" s="69"/>
      <c r="F15" s="69"/>
      <c r="G15" s="76" t="s">
        <v>108</v>
      </c>
    </row>
    <row r="16" spans="3:9" x14ac:dyDescent="0.25">
      <c r="C16" s="69" t="s">
        <v>109</v>
      </c>
      <c r="D16" s="76" t="s">
        <v>110</v>
      </c>
      <c r="E16" s="69"/>
      <c r="F16" s="69"/>
      <c r="G16" s="76" t="s">
        <v>111</v>
      </c>
    </row>
    <row r="17" spans="3:7" x14ac:dyDescent="0.25">
      <c r="C17" s="69" t="s">
        <v>112</v>
      </c>
      <c r="D17" s="69"/>
      <c r="E17" s="69"/>
      <c r="F17" s="69"/>
      <c r="G17" s="69"/>
    </row>
    <row r="18" spans="3:7" x14ac:dyDescent="0.25">
      <c r="C18" s="69" t="s">
        <v>113</v>
      </c>
      <c r="D18" s="77">
        <v>6400000</v>
      </c>
      <c r="E18" s="69"/>
      <c r="F18" s="69"/>
      <c r="G18" s="77">
        <v>2800000</v>
      </c>
    </row>
    <row r="19" spans="3:7" x14ac:dyDescent="0.25">
      <c r="C19" s="69" t="s">
        <v>114</v>
      </c>
      <c r="D19" s="69">
        <v>13</v>
      </c>
      <c r="E19" s="69"/>
      <c r="F19" s="69"/>
      <c r="G19" s="69">
        <v>13</v>
      </c>
    </row>
    <row r="20" spans="3:7" x14ac:dyDescent="0.25">
      <c r="C20" s="69" t="s">
        <v>115</v>
      </c>
      <c r="D20" s="78">
        <f>D18/1000000*D19</f>
        <v>83.2</v>
      </c>
      <c r="E20" s="69"/>
      <c r="F20" s="69"/>
      <c r="G20" s="78">
        <f>G18/1000000*G19</f>
        <v>36.4</v>
      </c>
    </row>
  </sheetData>
  <pageMargins left="0.7" right="0.7" top="0.75" bottom="0.75" header="0.51180555555555496" footer="0.51180555555555496"/>
  <pageSetup firstPageNumber="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K26"/>
  <sheetViews>
    <sheetView zoomScaleNormal="100" workbookViewId="0">
      <selection activeCell="G26" sqref="G26"/>
    </sheetView>
  </sheetViews>
  <sheetFormatPr defaultRowHeight="15" x14ac:dyDescent="0.25"/>
  <cols>
    <col min="1" max="1" width="3.7109375" style="79"/>
    <col min="2" max="2" width="10.7109375" style="79"/>
    <col min="3" max="3" width="9.5703125" style="79"/>
    <col min="4" max="4" width="15.140625" style="79"/>
    <col min="5" max="5" width="22.42578125" style="79"/>
    <col min="6" max="6" width="12.7109375" style="79"/>
    <col min="7" max="7" width="13.85546875" style="79"/>
    <col min="8" max="1025" width="9.140625" style="79"/>
  </cols>
  <sheetData>
    <row r="3" spans="1:7" x14ac:dyDescent="0.25">
      <c r="B3" s="80" t="s">
        <v>116</v>
      </c>
    </row>
    <row r="4" spans="1:7" ht="21" customHeight="1" x14ac:dyDescent="0.25">
      <c r="B4" s="5" t="s">
        <v>117</v>
      </c>
      <c r="C4" s="5"/>
      <c r="D4" s="5"/>
      <c r="E4" s="5"/>
    </row>
    <row r="5" spans="1:7" ht="18" customHeight="1" x14ac:dyDescent="0.25">
      <c r="B5" s="4" t="s">
        <v>118</v>
      </c>
      <c r="C5" s="4"/>
      <c r="D5" s="4"/>
      <c r="E5" s="4"/>
    </row>
    <row r="6" spans="1:7" s="81" customFormat="1" ht="42" customHeight="1" x14ac:dyDescent="0.25">
      <c r="B6" s="82" t="s">
        <v>119</v>
      </c>
      <c r="C6" s="83" t="s">
        <v>120</v>
      </c>
      <c r="D6" s="83" t="s">
        <v>121</v>
      </c>
      <c r="E6" s="84" t="s">
        <v>122</v>
      </c>
    </row>
    <row r="7" spans="1:7" s="81" customFormat="1" ht="15.75" x14ac:dyDescent="0.25">
      <c r="B7" s="85">
        <v>0</v>
      </c>
      <c r="C7" s="86">
        <v>0</v>
      </c>
      <c r="D7" s="87">
        <v>0</v>
      </c>
      <c r="E7" s="88">
        <f t="shared" ref="E7:E13" si="0">C7*D7</f>
        <v>0</v>
      </c>
    </row>
    <row r="8" spans="1:7" ht="15.75" x14ac:dyDescent="0.25">
      <c r="B8" s="89">
        <v>1</v>
      </c>
      <c r="C8" s="90">
        <v>0</v>
      </c>
      <c r="D8" s="91">
        <v>27300</v>
      </c>
      <c r="E8" s="88">
        <f t="shared" si="0"/>
        <v>0</v>
      </c>
    </row>
    <row r="9" spans="1:7" ht="15.75" x14ac:dyDescent="0.25">
      <c r="B9" s="89">
        <v>2</v>
      </c>
      <c r="C9" s="90">
        <v>2</v>
      </c>
      <c r="D9" s="91">
        <v>427700</v>
      </c>
      <c r="E9" s="88">
        <f t="shared" si="0"/>
        <v>855400</v>
      </c>
    </row>
    <row r="10" spans="1:7" ht="15.75" x14ac:dyDescent="0.25">
      <c r="B10" s="89">
        <v>3</v>
      </c>
      <c r="C10" s="90">
        <v>2</v>
      </c>
      <c r="D10" s="91">
        <v>955500</v>
      </c>
      <c r="E10" s="88">
        <f t="shared" si="0"/>
        <v>1911000</v>
      </c>
    </row>
    <row r="11" spans="1:7" ht="15.75" x14ac:dyDescent="0.25">
      <c r="B11" s="92">
        <v>4</v>
      </c>
      <c r="C11" s="90">
        <v>0</v>
      </c>
      <c r="D11" s="91">
        <v>2420600</v>
      </c>
      <c r="E11" s="88">
        <f t="shared" si="0"/>
        <v>0</v>
      </c>
    </row>
    <row r="12" spans="1:7" s="97" customFormat="1" ht="15.75" x14ac:dyDescent="0.25">
      <c r="A12" s="93"/>
      <c r="B12" s="94">
        <v>5</v>
      </c>
      <c r="C12" s="95">
        <v>0</v>
      </c>
      <c r="D12" s="96">
        <v>5396300</v>
      </c>
      <c r="E12" s="88">
        <f t="shared" si="0"/>
        <v>0</v>
      </c>
    </row>
    <row r="13" spans="1:7" s="97" customFormat="1" ht="15.75" x14ac:dyDescent="0.25">
      <c r="A13" s="93"/>
      <c r="B13" s="98">
        <v>6</v>
      </c>
      <c r="C13" s="99">
        <v>0.25</v>
      </c>
      <c r="D13" s="100">
        <v>9100000</v>
      </c>
      <c r="E13" s="101">
        <f t="shared" si="0"/>
        <v>2275000</v>
      </c>
    </row>
    <row r="14" spans="1:7" s="97" customFormat="1" ht="15.75" x14ac:dyDescent="0.25">
      <c r="A14" s="93"/>
      <c r="B14" s="102" t="s">
        <v>123</v>
      </c>
      <c r="C14" s="99">
        <v>5</v>
      </c>
      <c r="D14" s="100"/>
      <c r="E14" s="101">
        <f>SUM(E7:E13)</f>
        <v>5041400</v>
      </c>
    </row>
    <row r="15" spans="1:7" s="105" customFormat="1" ht="13.5" customHeight="1" x14ac:dyDescent="0.25">
      <c r="A15" s="93"/>
      <c r="B15" s="50" t="s">
        <v>50</v>
      </c>
      <c r="C15" s="103"/>
      <c r="D15" s="104"/>
      <c r="E15" s="104"/>
      <c r="F15" s="104"/>
      <c r="G15" s="104"/>
    </row>
    <row r="16" spans="1:7" x14ac:dyDescent="0.25">
      <c r="C16" s="106"/>
      <c r="D16" s="106"/>
      <c r="E16" s="106"/>
      <c r="F16" s="106"/>
      <c r="G16" s="106"/>
    </row>
    <row r="17" spans="2:7" x14ac:dyDescent="0.25">
      <c r="B17" s="57" t="s">
        <v>124</v>
      </c>
    </row>
    <row r="18" spans="2:7" x14ac:dyDescent="0.25">
      <c r="B18" s="57" t="s">
        <v>125</v>
      </c>
    </row>
    <row r="19" spans="2:7" x14ac:dyDescent="0.25">
      <c r="B19" s="57" t="s">
        <v>126</v>
      </c>
    </row>
    <row r="20" spans="2:7" x14ac:dyDescent="0.25">
      <c r="B20" s="57" t="s">
        <v>127</v>
      </c>
    </row>
    <row r="21" spans="2:7" x14ac:dyDescent="0.25">
      <c r="B21" s="57" t="s">
        <v>128</v>
      </c>
    </row>
    <row r="22" spans="2:7" x14ac:dyDescent="0.25">
      <c r="B22" s="57" t="s">
        <v>129</v>
      </c>
    </row>
    <row r="26" spans="2:7" x14ac:dyDescent="0.25">
      <c r="G26" s="57">
        <v>5041400</v>
      </c>
    </row>
  </sheetData>
  <mergeCells count="2">
    <mergeCell ref="B4:E4"/>
    <mergeCell ref="B5:E5"/>
  </mergeCells>
  <pageMargins left="0.7" right="0.7" top="1.4201388888888899"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1"/>
  <sheetViews>
    <sheetView zoomScaleNormal="100" workbookViewId="0">
      <selection activeCell="H10" sqref="H10"/>
    </sheetView>
  </sheetViews>
  <sheetFormatPr defaultRowHeight="15" x14ac:dyDescent="0.25"/>
  <cols>
    <col min="1" max="1" width="3.85546875" style="79"/>
    <col min="2" max="2" width="34" style="79"/>
    <col min="3" max="4" width="10.7109375" style="79"/>
    <col min="5" max="5" width="12.28515625" style="79"/>
    <col min="6" max="6" width="11.28515625" style="79"/>
    <col min="7" max="7" width="14.28515625" style="79"/>
    <col min="8" max="8" width="11.42578125" style="79"/>
    <col min="9" max="9" width="12.7109375" style="79"/>
    <col min="10" max="10" width="11.5703125" style="79"/>
    <col min="11" max="11" width="11.42578125" style="79"/>
    <col min="12" max="12" width="13.7109375" style="79"/>
    <col min="13" max="13" width="14.7109375" style="79"/>
    <col min="14" max="1025" width="9.140625" style="79"/>
  </cols>
  <sheetData>
    <row r="1" spans="2:13" x14ac:dyDescent="0.25">
      <c r="B1" s="107"/>
      <c r="H1" s="108"/>
    </row>
    <row r="3" spans="2:13" x14ac:dyDescent="0.25">
      <c r="B3" s="80" t="s">
        <v>130</v>
      </c>
      <c r="H3" s="107"/>
    </row>
    <row r="4" spans="2:13" x14ac:dyDescent="0.25">
      <c r="B4" s="109"/>
      <c r="C4" s="110">
        <v>1</v>
      </c>
      <c r="D4" s="110">
        <v>2</v>
      </c>
      <c r="E4" s="110">
        <v>3</v>
      </c>
      <c r="F4" s="110">
        <v>4</v>
      </c>
      <c r="G4" s="110">
        <v>5</v>
      </c>
      <c r="H4" s="111">
        <v>6</v>
      </c>
      <c r="I4" s="110">
        <v>7</v>
      </c>
      <c r="J4" s="110">
        <v>8</v>
      </c>
      <c r="K4" s="110">
        <v>9</v>
      </c>
      <c r="L4" s="110">
        <v>10</v>
      </c>
      <c r="M4" s="112">
        <v>11</v>
      </c>
    </row>
    <row r="5" spans="2:13" s="81" customFormat="1" ht="75.599999999999994" customHeight="1" x14ac:dyDescent="0.25">
      <c r="B5" s="113"/>
      <c r="C5" s="83" t="s">
        <v>131</v>
      </c>
      <c r="D5" s="83" t="s">
        <v>132</v>
      </c>
      <c r="E5" s="83" t="s">
        <v>133</v>
      </c>
      <c r="F5" s="83" t="s">
        <v>134</v>
      </c>
      <c r="G5" s="83" t="s">
        <v>135</v>
      </c>
      <c r="H5" s="83" t="s">
        <v>136</v>
      </c>
      <c r="I5" s="83" t="s">
        <v>137</v>
      </c>
      <c r="J5" s="114" t="s">
        <v>138</v>
      </c>
      <c r="K5" s="83" t="s">
        <v>139</v>
      </c>
      <c r="L5" s="83" t="s">
        <v>140</v>
      </c>
      <c r="M5" s="115" t="s">
        <v>141</v>
      </c>
    </row>
    <row r="6" spans="2:13" s="81" customFormat="1" x14ac:dyDescent="0.25">
      <c r="B6" s="116" t="s">
        <v>142</v>
      </c>
      <c r="C6" s="117">
        <v>3022</v>
      </c>
      <c r="D6" s="117">
        <v>87.4</v>
      </c>
      <c r="E6" s="118">
        <f>C6*D6/100</f>
        <v>2641.2280000000001</v>
      </c>
      <c r="F6" s="119">
        <f>C6*(D6/100)*0.5</f>
        <v>1320.6140000000003</v>
      </c>
      <c r="G6" s="119">
        <f>F6*0.05</f>
        <v>66.03070000000001</v>
      </c>
      <c r="H6" s="119">
        <f>G6*(2.93-1)</f>
        <v>127.43925100000003</v>
      </c>
      <c r="I6" s="119">
        <f>F6*0.17</f>
        <v>224.50438000000005</v>
      </c>
      <c r="J6" s="120">
        <f>E6*(0.004+1.2*(0.05))</f>
        <v>169.03859199999999</v>
      </c>
      <c r="K6" s="118">
        <f>J6*(2.93-1)</f>
        <v>326.24448255999999</v>
      </c>
      <c r="L6" s="121">
        <f>K6*128</f>
        <v>41759.293767679999</v>
      </c>
      <c r="M6" s="122">
        <f>((K6-H6)*10*365)+(H6*10*260)</f>
        <v>1056981.1477940001</v>
      </c>
    </row>
    <row r="7" spans="2:13" x14ac:dyDescent="0.25">
      <c r="B7" s="123" t="s">
        <v>143</v>
      </c>
      <c r="C7" s="124">
        <v>4334</v>
      </c>
      <c r="D7" s="125">
        <v>87.4</v>
      </c>
      <c r="E7" s="126">
        <f>C7*D7/100</f>
        <v>3787.9160000000002</v>
      </c>
      <c r="F7" s="127">
        <f>C7*(D7/100)*0.5</f>
        <v>1893.9580000000003</v>
      </c>
      <c r="G7" s="127">
        <f>F7*0.05</f>
        <v>94.697900000000018</v>
      </c>
      <c r="H7" s="127">
        <f>G7*(2.11-1)</f>
        <v>105.11466900000001</v>
      </c>
      <c r="I7" s="127">
        <f>F7*0.17</f>
        <v>321.97286000000008</v>
      </c>
      <c r="J7" s="128">
        <f>E7*(0.004+1.2*(0.05))</f>
        <v>242.426624</v>
      </c>
      <c r="K7" s="126">
        <f>J7*(2.11-1)</f>
        <v>269.09355263999998</v>
      </c>
      <c r="L7" s="129">
        <f>K7*128</f>
        <v>34443.974737919998</v>
      </c>
      <c r="M7" s="122">
        <f>((K7-H7)*10*365)+(H7*10*260)</f>
        <v>871821.064686</v>
      </c>
    </row>
    <row r="8" spans="2:13" x14ac:dyDescent="0.25">
      <c r="B8" s="123" t="s">
        <v>144</v>
      </c>
      <c r="C8" s="124">
        <v>6658</v>
      </c>
      <c r="D8" s="125">
        <v>87.4</v>
      </c>
      <c r="E8" s="126">
        <f>C8*D8/100</f>
        <v>5819.0920000000006</v>
      </c>
      <c r="F8" s="127">
        <f>C8*(D8/100)*0.5</f>
        <v>2909.5460000000003</v>
      </c>
      <c r="G8" s="127">
        <f>F8*0.05</f>
        <v>145.47730000000001</v>
      </c>
      <c r="H8" s="127">
        <f>G8*(1.39-1)</f>
        <v>56.736146999999988</v>
      </c>
      <c r="I8" s="127">
        <f>F8*0.17</f>
        <v>494.6228200000001</v>
      </c>
      <c r="J8" s="128">
        <f>E8*(0.004+1.2*(0.05))</f>
        <v>372.42188800000002</v>
      </c>
      <c r="K8" s="126">
        <f>J8*(1.39-1)</f>
        <v>145.24453631999998</v>
      </c>
      <c r="L8" s="129">
        <f>K8*128</f>
        <v>18591.300648959997</v>
      </c>
      <c r="M8" s="122">
        <f>((K8-H8)*10*365)+(H8*10*260)</f>
        <v>470569.60321799992</v>
      </c>
    </row>
    <row r="9" spans="2:13" x14ac:dyDescent="0.25">
      <c r="B9" s="123" t="s">
        <v>145</v>
      </c>
      <c r="C9" s="124">
        <v>2450</v>
      </c>
      <c r="D9" s="125">
        <v>87.4</v>
      </c>
      <c r="E9" s="126">
        <f>C9*D9/100</f>
        <v>2141.3000000000002</v>
      </c>
      <c r="F9" s="127">
        <f>C9*(D9/100)*0.5</f>
        <v>1070.6500000000001</v>
      </c>
      <c r="G9" s="127">
        <f>F9*0.05</f>
        <v>53.532500000000006</v>
      </c>
      <c r="H9" s="127">
        <v>0</v>
      </c>
      <c r="I9" s="127">
        <f>F9*0.17</f>
        <v>182.01050000000004</v>
      </c>
      <c r="J9" s="128">
        <f>E9*(0.4+1.2*(0.05))</f>
        <v>984.99800000000016</v>
      </c>
      <c r="K9" s="126">
        <v>0</v>
      </c>
      <c r="L9" s="129">
        <f>K9*128</f>
        <v>0</v>
      </c>
      <c r="M9" s="122">
        <f>((K9-H9)*10*365)+(H9*10*260)</f>
        <v>0</v>
      </c>
    </row>
    <row r="10" spans="2:13" x14ac:dyDescent="0.25">
      <c r="B10" s="130" t="s">
        <v>49</v>
      </c>
      <c r="C10" s="131">
        <f>SUM(C6:C9)</f>
        <v>16464</v>
      </c>
      <c r="D10" s="132"/>
      <c r="E10" s="133">
        <f t="shared" ref="E10:M10" si="0">SUM(E6:E9)</f>
        <v>14389.536</v>
      </c>
      <c r="F10" s="133">
        <f t="shared" si="0"/>
        <v>7194.768</v>
      </c>
      <c r="G10" s="133">
        <f t="shared" si="0"/>
        <v>359.73840000000007</v>
      </c>
      <c r="H10" s="133">
        <f t="shared" si="0"/>
        <v>289.29006700000002</v>
      </c>
      <c r="I10" s="133">
        <f t="shared" si="0"/>
        <v>1223.1105600000003</v>
      </c>
      <c r="J10" s="134">
        <f t="shared" si="0"/>
        <v>1768.8851040000002</v>
      </c>
      <c r="K10" s="133">
        <f t="shared" si="0"/>
        <v>740.58257151999987</v>
      </c>
      <c r="L10" s="135">
        <f t="shared" si="0"/>
        <v>94794.569154559984</v>
      </c>
      <c r="M10" s="136">
        <f t="shared" si="0"/>
        <v>2399371.8156980001</v>
      </c>
    </row>
    <row r="11" spans="2:13" s="97" customFormat="1" x14ac:dyDescent="0.25">
      <c r="B11" s="103" t="s">
        <v>146</v>
      </c>
    </row>
    <row r="12" spans="2:13" s="105" customFormat="1" x14ac:dyDescent="0.25">
      <c r="B12" s="137" t="s">
        <v>147</v>
      </c>
    </row>
    <row r="13" spans="2:13" s="105" customFormat="1" x14ac:dyDescent="0.25">
      <c r="B13" s="137" t="s">
        <v>148</v>
      </c>
    </row>
    <row r="14" spans="2:13" s="105" customFormat="1" x14ac:dyDescent="0.25">
      <c r="B14" s="70" t="s">
        <v>149</v>
      </c>
    </row>
    <row r="15" spans="2:13" s="105" customFormat="1" x14ac:dyDescent="0.25">
      <c r="B15" s="70" t="s">
        <v>150</v>
      </c>
    </row>
    <row r="16" spans="2:13" s="105" customFormat="1" x14ac:dyDescent="0.25">
      <c r="B16" s="105" t="s">
        <v>151</v>
      </c>
      <c r="C16" s="138"/>
      <c r="D16" s="138"/>
      <c r="E16" s="138"/>
    </row>
    <row r="17" spans="2:8" s="105" customFormat="1" x14ac:dyDescent="0.25">
      <c r="B17" s="70" t="s">
        <v>152</v>
      </c>
      <c r="C17" s="138"/>
      <c r="D17" s="138"/>
      <c r="E17" s="138"/>
    </row>
    <row r="18" spans="2:8" s="105" customFormat="1" x14ac:dyDescent="0.25">
      <c r="B18" s="70" t="s">
        <v>153</v>
      </c>
      <c r="C18" s="138"/>
      <c r="D18" s="138"/>
      <c r="E18" s="138"/>
    </row>
    <row r="19" spans="2:8" s="105" customFormat="1" x14ac:dyDescent="0.25">
      <c r="B19" s="70" t="s">
        <v>154</v>
      </c>
      <c r="C19" s="138"/>
      <c r="D19" s="138"/>
      <c r="E19" s="138"/>
      <c r="G19" s="139"/>
      <c r="H19" s="139"/>
    </row>
    <row r="20" spans="2:8" s="105" customFormat="1" x14ac:dyDescent="0.25">
      <c r="B20" s="70" t="s">
        <v>155</v>
      </c>
      <c r="G20" s="139"/>
      <c r="H20" s="139"/>
    </row>
    <row r="21" spans="2:8" s="105" customFormat="1" ht="15" customHeight="1" x14ac:dyDescent="0.25">
      <c r="B21" s="70" t="s">
        <v>156</v>
      </c>
      <c r="C21" s="139"/>
      <c r="D21" s="139"/>
      <c r="E21" s="139"/>
      <c r="F21" s="139"/>
      <c r="G21" s="139"/>
      <c r="H21" s="139"/>
    </row>
  </sheetData>
  <pageMargins left="0.7" right="0.7" top="1.4201388888888899"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2"/>
  <sheetViews>
    <sheetView zoomScaleNormal="100" workbookViewId="0">
      <selection activeCell="B24" sqref="B24"/>
    </sheetView>
  </sheetViews>
  <sheetFormatPr defaultRowHeight="15" x14ac:dyDescent="0.25"/>
  <cols>
    <col min="1" max="1" width="9.140625" style="79"/>
    <col min="2" max="2" width="23.140625" style="79"/>
    <col min="3" max="3" width="16.28515625" style="79"/>
    <col min="4" max="4" width="15.7109375" style="79"/>
    <col min="5" max="5" width="9.140625" style="79"/>
    <col min="6" max="6" width="10.140625" style="79"/>
    <col min="7" max="1025" width="9.140625" style="79"/>
  </cols>
  <sheetData>
    <row r="2" spans="2:4" ht="15.75" x14ac:dyDescent="0.25">
      <c r="B2" s="71" t="s">
        <v>157</v>
      </c>
    </row>
    <row r="3" spans="2:4" ht="41.25" customHeight="1" x14ac:dyDescent="0.25">
      <c r="B3" s="140" t="s">
        <v>158</v>
      </c>
      <c r="C3" s="141" t="s">
        <v>159</v>
      </c>
      <c r="D3" s="142" t="s">
        <v>160</v>
      </c>
    </row>
    <row r="4" spans="2:4" ht="15.75" x14ac:dyDescent="0.25">
      <c r="B4" s="143">
        <v>2015</v>
      </c>
      <c r="C4" s="27">
        <v>18000</v>
      </c>
      <c r="D4" s="144">
        <v>21250</v>
      </c>
    </row>
    <row r="5" spans="2:4" ht="15.75" x14ac:dyDescent="0.25">
      <c r="B5" s="143">
        <v>2016</v>
      </c>
      <c r="C5" s="27">
        <f t="shared" ref="C5:C23" si="0">C4+(C4*0.03)</f>
        <v>18540</v>
      </c>
      <c r="D5" s="144">
        <f t="shared" ref="D5:D23" si="1">D4+(D4*0.03)</f>
        <v>21887.5</v>
      </c>
    </row>
    <row r="6" spans="2:4" ht="15.75" x14ac:dyDescent="0.25">
      <c r="B6" s="143">
        <v>2017</v>
      </c>
      <c r="C6" s="27">
        <f t="shared" si="0"/>
        <v>19096.2</v>
      </c>
      <c r="D6" s="144">
        <f t="shared" si="1"/>
        <v>22544.125</v>
      </c>
    </row>
    <row r="7" spans="2:4" ht="15.75" x14ac:dyDescent="0.25">
      <c r="B7" s="143">
        <v>2018</v>
      </c>
      <c r="C7" s="27">
        <f t="shared" si="0"/>
        <v>19669.085999999999</v>
      </c>
      <c r="D7" s="144">
        <f t="shared" si="1"/>
        <v>23220.44875</v>
      </c>
    </row>
    <row r="8" spans="2:4" ht="15.75" x14ac:dyDescent="0.25">
      <c r="B8" s="143">
        <v>2019</v>
      </c>
      <c r="C8" s="27">
        <f t="shared" si="0"/>
        <v>20259.158579999999</v>
      </c>
      <c r="D8" s="144">
        <f t="shared" si="1"/>
        <v>23917.062212500001</v>
      </c>
    </row>
    <row r="9" spans="2:4" ht="15.75" x14ac:dyDescent="0.25">
      <c r="B9" s="143">
        <v>2020</v>
      </c>
      <c r="C9" s="27">
        <f t="shared" si="0"/>
        <v>20866.933337399998</v>
      </c>
      <c r="D9" s="144">
        <f t="shared" si="1"/>
        <v>24634.574078875001</v>
      </c>
    </row>
    <row r="10" spans="2:4" ht="15.75" x14ac:dyDescent="0.25">
      <c r="B10" s="143">
        <v>2021</v>
      </c>
      <c r="C10" s="27">
        <f t="shared" si="0"/>
        <v>21492.941337521999</v>
      </c>
      <c r="D10" s="144">
        <f t="shared" si="1"/>
        <v>25373.61130124125</v>
      </c>
    </row>
    <row r="11" spans="2:4" ht="15.75" x14ac:dyDescent="0.25">
      <c r="B11" s="143">
        <v>2022</v>
      </c>
      <c r="C11" s="27">
        <f t="shared" si="0"/>
        <v>22137.72957764766</v>
      </c>
      <c r="D11" s="144">
        <f t="shared" si="1"/>
        <v>26134.819640278489</v>
      </c>
    </row>
    <row r="12" spans="2:4" ht="15.75" x14ac:dyDescent="0.25">
      <c r="B12" s="143">
        <v>2023</v>
      </c>
      <c r="C12" s="27">
        <f t="shared" si="0"/>
        <v>22801.86146497709</v>
      </c>
      <c r="D12" s="144">
        <f t="shared" si="1"/>
        <v>26918.864229486844</v>
      </c>
    </row>
    <row r="13" spans="2:4" ht="15.75" x14ac:dyDescent="0.25">
      <c r="B13" s="143">
        <v>2024</v>
      </c>
      <c r="C13" s="27">
        <f t="shared" si="0"/>
        <v>23485.917308926404</v>
      </c>
      <c r="D13" s="144">
        <f t="shared" si="1"/>
        <v>27726.430156371451</v>
      </c>
    </row>
    <row r="14" spans="2:4" ht="15.75" x14ac:dyDescent="0.25">
      <c r="B14" s="143">
        <v>2025</v>
      </c>
      <c r="C14" s="27">
        <f t="shared" si="0"/>
        <v>24190.494828194198</v>
      </c>
      <c r="D14" s="144">
        <f t="shared" si="1"/>
        <v>28558.223061062596</v>
      </c>
    </row>
    <row r="15" spans="2:4" ht="15.75" x14ac:dyDescent="0.25">
      <c r="B15" s="143">
        <v>2026</v>
      </c>
      <c r="C15" s="27">
        <f t="shared" si="0"/>
        <v>24916.209673040023</v>
      </c>
      <c r="D15" s="144">
        <f t="shared" si="1"/>
        <v>29414.969752894474</v>
      </c>
    </row>
    <row r="16" spans="2:4" ht="15.75" x14ac:dyDescent="0.25">
      <c r="B16" s="143">
        <v>2027</v>
      </c>
      <c r="C16" s="27">
        <f t="shared" si="0"/>
        <v>25663.695963231225</v>
      </c>
      <c r="D16" s="144">
        <f t="shared" si="1"/>
        <v>30297.418845481308</v>
      </c>
    </row>
    <row r="17" spans="2:6" ht="15.75" x14ac:dyDescent="0.25">
      <c r="B17" s="143">
        <v>2028</v>
      </c>
      <c r="C17" s="27">
        <f t="shared" si="0"/>
        <v>26433.60684212816</v>
      </c>
      <c r="D17" s="144">
        <f t="shared" si="1"/>
        <v>31206.341410845747</v>
      </c>
    </row>
    <row r="18" spans="2:6" ht="15.75" x14ac:dyDescent="0.25">
      <c r="B18" s="143">
        <v>2029</v>
      </c>
      <c r="C18" s="27">
        <f t="shared" si="0"/>
        <v>27226.615047392006</v>
      </c>
      <c r="D18" s="144">
        <f t="shared" si="1"/>
        <v>32142.531653171121</v>
      </c>
    </row>
    <row r="19" spans="2:6" ht="15.75" x14ac:dyDescent="0.25">
      <c r="B19" s="143">
        <v>2030</v>
      </c>
      <c r="C19" s="27">
        <f t="shared" si="0"/>
        <v>28043.413498813767</v>
      </c>
      <c r="D19" s="144">
        <f t="shared" si="1"/>
        <v>33106.807602766254</v>
      </c>
    </row>
    <row r="20" spans="2:6" ht="15.75" x14ac:dyDescent="0.25">
      <c r="B20" s="143">
        <v>2031</v>
      </c>
      <c r="C20" s="27">
        <f t="shared" si="0"/>
        <v>28884.715903778178</v>
      </c>
      <c r="D20" s="144">
        <f t="shared" si="1"/>
        <v>34100.011830849238</v>
      </c>
    </row>
    <row r="21" spans="2:6" ht="15.75" x14ac:dyDescent="0.25">
      <c r="B21" s="143">
        <v>2032</v>
      </c>
      <c r="C21" s="27">
        <f t="shared" si="0"/>
        <v>29751.257380891522</v>
      </c>
      <c r="D21" s="144">
        <f t="shared" si="1"/>
        <v>35123.012185774714</v>
      </c>
    </row>
    <row r="22" spans="2:6" ht="15.75" x14ac:dyDescent="0.25">
      <c r="B22" s="143">
        <v>2033</v>
      </c>
      <c r="C22" s="27">
        <f t="shared" si="0"/>
        <v>30643.795102318269</v>
      </c>
      <c r="D22" s="144">
        <f t="shared" si="1"/>
        <v>36176.702551347953</v>
      </c>
    </row>
    <row r="23" spans="2:6" ht="15.75" x14ac:dyDescent="0.25">
      <c r="B23" s="143">
        <v>2034</v>
      </c>
      <c r="C23" s="27">
        <f t="shared" si="0"/>
        <v>31563.108955387816</v>
      </c>
      <c r="D23" s="144">
        <f t="shared" si="1"/>
        <v>37262.003627888393</v>
      </c>
    </row>
    <row r="24" spans="2:6" ht="15.75" x14ac:dyDescent="0.25">
      <c r="B24" s="145" t="s">
        <v>49</v>
      </c>
      <c r="C24" s="146">
        <f>SUM(C4:C23)</f>
        <v>483666.74080164835</v>
      </c>
      <c r="D24" s="147">
        <f>SUM(D4:D23)</f>
        <v>570995.45789083478</v>
      </c>
    </row>
    <row r="25" spans="2:6" ht="15.75" x14ac:dyDescent="0.25">
      <c r="B25" s="148" t="s">
        <v>161</v>
      </c>
      <c r="C25" s="3">
        <f>SUM(C24:D24)</f>
        <v>1054662.1986924831</v>
      </c>
      <c r="D25" s="3"/>
    </row>
    <row r="26" spans="2:6" ht="31.5" customHeight="1" x14ac:dyDescent="0.25">
      <c r="B26" s="149" t="s">
        <v>162</v>
      </c>
      <c r="C26" s="150"/>
      <c r="D26" s="151"/>
      <c r="F26" s="58"/>
    </row>
    <row r="28" spans="2:6" x14ac:dyDescent="0.25">
      <c r="B28" s="57" t="s">
        <v>163</v>
      </c>
    </row>
    <row r="29" spans="2:6" x14ac:dyDescent="0.25">
      <c r="B29" s="57" t="s">
        <v>164</v>
      </c>
    </row>
    <row r="30" spans="2:6" x14ac:dyDescent="0.25">
      <c r="B30" s="57" t="s">
        <v>165</v>
      </c>
    </row>
    <row r="31" spans="2:6" x14ac:dyDescent="0.25">
      <c r="B31" s="57" t="s">
        <v>166</v>
      </c>
    </row>
    <row r="32" spans="2:6" x14ac:dyDescent="0.25">
      <c r="B32" s="57" t="s">
        <v>167</v>
      </c>
    </row>
  </sheetData>
  <mergeCells count="1">
    <mergeCell ref="C25:D25"/>
  </mergeCells>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40"/>
  <sheetViews>
    <sheetView zoomScaleNormal="100" workbookViewId="0">
      <selection activeCell="C7" sqref="C7"/>
    </sheetView>
  </sheetViews>
  <sheetFormatPr defaultRowHeight="15.75" x14ac:dyDescent="0.25"/>
  <cols>
    <col min="1" max="1" width="5.28515625" style="7"/>
    <col min="2" max="2" width="14.28515625" style="7"/>
    <col min="3" max="3" width="11.28515625" style="7"/>
    <col min="4" max="4" width="9.140625" style="7"/>
    <col min="5" max="5" width="13.28515625" style="7"/>
    <col min="6" max="6" width="15.7109375" style="7"/>
    <col min="7" max="7" width="12.7109375" style="7"/>
    <col min="8" max="8" width="17.42578125" style="7"/>
    <col min="9" max="9" width="11.28515625" style="7"/>
    <col min="10" max="10" width="9.85546875" style="7"/>
    <col min="11" max="11" width="10.85546875" style="7"/>
    <col min="12" max="12" width="11.140625" style="7"/>
    <col min="13" max="13" width="17.7109375" style="7"/>
    <col min="14" max="1025" width="9.140625" style="7"/>
  </cols>
  <sheetData>
    <row r="2" spans="2:13" x14ac:dyDescent="0.25">
      <c r="B2" s="69" t="s">
        <v>168</v>
      </c>
    </row>
    <row r="3" spans="2:13" x14ac:dyDescent="0.25">
      <c r="B3" s="69" t="s">
        <v>169</v>
      </c>
    </row>
    <row r="5" spans="2:13" x14ac:dyDescent="0.25">
      <c r="B5" s="152"/>
      <c r="C5" s="153">
        <v>1</v>
      </c>
      <c r="D5" s="153">
        <v>2</v>
      </c>
      <c r="E5" s="153">
        <v>3</v>
      </c>
      <c r="F5" s="153">
        <v>4</v>
      </c>
      <c r="G5" s="153">
        <v>5</v>
      </c>
      <c r="H5" s="153">
        <v>6</v>
      </c>
      <c r="I5" s="153">
        <v>7</v>
      </c>
      <c r="J5" s="153">
        <v>8</v>
      </c>
      <c r="K5" s="153">
        <v>9</v>
      </c>
      <c r="L5" s="154">
        <v>10</v>
      </c>
      <c r="M5" s="154">
        <v>11</v>
      </c>
    </row>
    <row r="6" spans="2:13" s="73" customFormat="1" ht="56.25" customHeight="1" x14ac:dyDescent="0.25">
      <c r="B6" s="155" t="s">
        <v>170</v>
      </c>
      <c r="C6" s="156" t="s">
        <v>171</v>
      </c>
      <c r="D6" s="156" t="s">
        <v>172</v>
      </c>
      <c r="E6" s="156" t="s">
        <v>173</v>
      </c>
      <c r="F6" s="156" t="s">
        <v>174</v>
      </c>
      <c r="G6" s="156" t="s">
        <v>175</v>
      </c>
      <c r="H6" s="156" t="s">
        <v>176</v>
      </c>
      <c r="I6" s="156" t="s">
        <v>177</v>
      </c>
      <c r="J6" s="156" t="s">
        <v>178</v>
      </c>
      <c r="K6" s="156" t="s">
        <v>179</v>
      </c>
      <c r="L6" s="157" t="s">
        <v>180</v>
      </c>
      <c r="M6" s="157" t="s">
        <v>181</v>
      </c>
    </row>
    <row r="7" spans="2:13" x14ac:dyDescent="0.25">
      <c r="B7" s="158">
        <v>1</v>
      </c>
      <c r="C7" s="159">
        <f>$C$20*0.02</f>
        <v>1202.44</v>
      </c>
      <c r="D7" s="160">
        <f t="shared" ref="D7:D19" si="0">B7*C7</f>
        <v>1202.44</v>
      </c>
      <c r="E7" s="161">
        <f t="shared" ref="E7:E19" si="1">D7/20.3</f>
        <v>59.233497536945812</v>
      </c>
      <c r="F7" s="162">
        <f t="shared" ref="F7:F19" si="2">E7*3.9</f>
        <v>231.01064039408865</v>
      </c>
      <c r="G7" s="161">
        <f t="shared" ref="G7:G19" si="3">E7*8.8*(100/95)/1000</f>
        <v>0.54868924034223499</v>
      </c>
      <c r="H7" s="161">
        <f t="shared" ref="H7:H19" si="4">G7*22.4</f>
        <v>12.290638983666064</v>
      </c>
      <c r="I7" s="161">
        <f t="shared" ref="I7:I19" si="5">(((G7*100)/95)-G7)*0.43</f>
        <v>1.2417703860376871E-2</v>
      </c>
      <c r="J7" s="161">
        <f t="shared" ref="J7:J19" si="6">((($G7*100)/95)-$G7)*0.028</f>
        <v>8.0859466997802894E-4</v>
      </c>
      <c r="K7" s="161">
        <f t="shared" ref="K7:K19" si="7">((($G7*100)/95)-$G7)*0.53</f>
        <v>1.5305541967441261E-2</v>
      </c>
      <c r="L7" s="163">
        <f t="shared" ref="L7:L19" si="8">((($G7*100)/95)-$G7)*0.011</f>
        <v>3.1766219177708273E-4</v>
      </c>
      <c r="M7" s="163">
        <f t="shared" ref="M7:M19" si="9">(I7*5217)+(J7*30516)+(K7*1280)+(L7*285469)</f>
        <v>199.7320379313725</v>
      </c>
    </row>
    <row r="8" spans="2:13" x14ac:dyDescent="0.25">
      <c r="B8" s="164">
        <v>2</v>
      </c>
      <c r="C8" s="165">
        <f>$C$20*0.05</f>
        <v>3006.1000000000004</v>
      </c>
      <c r="D8" s="166">
        <f t="shared" si="0"/>
        <v>6012.2000000000007</v>
      </c>
      <c r="E8" s="167">
        <f t="shared" si="1"/>
        <v>296.16748768472911</v>
      </c>
      <c r="F8" s="35">
        <f t="shared" si="2"/>
        <v>1155.0532019704435</v>
      </c>
      <c r="G8" s="167">
        <f t="shared" si="3"/>
        <v>2.7434462017111749</v>
      </c>
      <c r="H8" s="161">
        <f t="shared" si="4"/>
        <v>61.453194918330311</v>
      </c>
      <c r="I8" s="167">
        <f t="shared" si="5"/>
        <v>6.2088519301884457E-2</v>
      </c>
      <c r="J8" s="167">
        <f t="shared" si="6"/>
        <v>4.0429733498901508E-3</v>
      </c>
      <c r="K8" s="167">
        <f t="shared" si="7"/>
        <v>7.6527709837206429E-2</v>
      </c>
      <c r="L8" s="168">
        <f t="shared" si="8"/>
        <v>1.5883109588854163E-3</v>
      </c>
      <c r="M8" s="163">
        <f t="shared" si="9"/>
        <v>998.66018965686419</v>
      </c>
    </row>
    <row r="9" spans="2:13" x14ac:dyDescent="0.25">
      <c r="B9" s="164">
        <v>3</v>
      </c>
      <c r="C9" s="165">
        <f>$C$20*0.1</f>
        <v>6012.2000000000007</v>
      </c>
      <c r="D9" s="166">
        <f t="shared" si="0"/>
        <v>18036.600000000002</v>
      </c>
      <c r="E9" s="167">
        <f t="shared" si="1"/>
        <v>888.50246305418727</v>
      </c>
      <c r="F9" s="35">
        <f t="shared" si="2"/>
        <v>3465.1596059113303</v>
      </c>
      <c r="G9" s="167">
        <f t="shared" si="3"/>
        <v>8.2303386051335234</v>
      </c>
      <c r="H9" s="161">
        <f t="shared" si="4"/>
        <v>184.35958475499092</v>
      </c>
      <c r="I9" s="167">
        <f t="shared" si="5"/>
        <v>0.18626555790565374</v>
      </c>
      <c r="J9" s="167">
        <f t="shared" si="6"/>
        <v>1.2128920049670477E-2</v>
      </c>
      <c r="K9" s="167">
        <f t="shared" si="7"/>
        <v>0.22958312951161974</v>
      </c>
      <c r="L9" s="168">
        <f t="shared" si="8"/>
        <v>4.7649328766562584E-3</v>
      </c>
      <c r="M9" s="163">
        <f t="shared" si="9"/>
        <v>2995.9805689705986</v>
      </c>
    </row>
    <row r="10" spans="2:13" x14ac:dyDescent="0.25">
      <c r="B10" s="164">
        <v>4</v>
      </c>
      <c r="C10" s="165">
        <f>$C$20*0.1</f>
        <v>6012.2000000000007</v>
      </c>
      <c r="D10" s="166">
        <f t="shared" si="0"/>
        <v>24048.800000000003</v>
      </c>
      <c r="E10" s="167">
        <f t="shared" si="1"/>
        <v>1184.6699507389164</v>
      </c>
      <c r="F10" s="35">
        <f t="shared" si="2"/>
        <v>4620.2128078817741</v>
      </c>
      <c r="G10" s="167">
        <f t="shared" si="3"/>
        <v>10.9737848068447</v>
      </c>
      <c r="H10" s="161">
        <f t="shared" si="4"/>
        <v>245.81277967332124</v>
      </c>
      <c r="I10" s="167">
        <f t="shared" si="5"/>
        <v>0.24835407720753783</v>
      </c>
      <c r="J10" s="167">
        <f t="shared" si="6"/>
        <v>1.6171893399560603E-2</v>
      </c>
      <c r="K10" s="167">
        <f t="shared" si="7"/>
        <v>0.30611083934882571</v>
      </c>
      <c r="L10" s="168">
        <f t="shared" si="8"/>
        <v>6.3532438355416651E-3</v>
      </c>
      <c r="M10" s="163">
        <f t="shared" si="9"/>
        <v>3994.6407586274568</v>
      </c>
    </row>
    <row r="11" spans="2:13" x14ac:dyDescent="0.25">
      <c r="B11" s="164">
        <v>5</v>
      </c>
      <c r="C11" s="165">
        <f>$C$20*0.1</f>
        <v>6012.2000000000007</v>
      </c>
      <c r="D11" s="166">
        <f t="shared" si="0"/>
        <v>30061.000000000004</v>
      </c>
      <c r="E11" s="167">
        <f t="shared" si="1"/>
        <v>1480.8374384236454</v>
      </c>
      <c r="F11" s="35">
        <f t="shared" si="2"/>
        <v>5775.2660098522165</v>
      </c>
      <c r="G11" s="167">
        <f t="shared" si="3"/>
        <v>13.717231008555872</v>
      </c>
      <c r="H11" s="161">
        <f t="shared" si="4"/>
        <v>307.26597459165151</v>
      </c>
      <c r="I11" s="167">
        <f t="shared" si="5"/>
        <v>0.31044259650942263</v>
      </c>
      <c r="J11" s="167">
        <f t="shared" si="6"/>
        <v>2.0214866749450777E-2</v>
      </c>
      <c r="K11" s="167">
        <f t="shared" si="7"/>
        <v>0.38263854918603257</v>
      </c>
      <c r="L11" s="168">
        <f t="shared" si="8"/>
        <v>7.9415547944270901E-3</v>
      </c>
      <c r="M11" s="163">
        <f t="shared" si="9"/>
        <v>4993.3009482843263</v>
      </c>
    </row>
    <row r="12" spans="2:13" x14ac:dyDescent="0.25">
      <c r="B12" s="164">
        <v>6</v>
      </c>
      <c r="C12" s="165">
        <f>$C$20*0.12</f>
        <v>7214.6399999999994</v>
      </c>
      <c r="D12" s="166">
        <f t="shared" si="0"/>
        <v>43287.839999999997</v>
      </c>
      <c r="E12" s="167">
        <f t="shared" si="1"/>
        <v>2132.4059113300491</v>
      </c>
      <c r="F12" s="35">
        <f t="shared" si="2"/>
        <v>8316.3830541871921</v>
      </c>
      <c r="G12" s="167">
        <f t="shared" si="3"/>
        <v>19.752812652320454</v>
      </c>
      <c r="H12" s="161">
        <f t="shared" si="4"/>
        <v>442.46300341197815</v>
      </c>
      <c r="I12" s="167">
        <f t="shared" si="5"/>
        <v>0.44703733897356779</v>
      </c>
      <c r="J12" s="167">
        <f t="shared" si="6"/>
        <v>2.9109408119209066E-2</v>
      </c>
      <c r="K12" s="167">
        <f t="shared" si="7"/>
        <v>0.5509995108278859</v>
      </c>
      <c r="L12" s="168">
        <f t="shared" si="8"/>
        <v>1.1435838903974989E-2</v>
      </c>
      <c r="M12" s="163">
        <f t="shared" si="9"/>
        <v>7190.3533655294177</v>
      </c>
    </row>
    <row r="13" spans="2:13" x14ac:dyDescent="0.25">
      <c r="B13" s="164">
        <v>7</v>
      </c>
      <c r="C13" s="165">
        <f>$C$20*0.06</f>
        <v>3607.3199999999997</v>
      </c>
      <c r="D13" s="166">
        <f t="shared" si="0"/>
        <v>25251.239999999998</v>
      </c>
      <c r="E13" s="167">
        <f t="shared" si="1"/>
        <v>1243.9034482758618</v>
      </c>
      <c r="F13" s="35">
        <f t="shared" si="2"/>
        <v>4851.2234482758613</v>
      </c>
      <c r="G13" s="167">
        <f t="shared" si="3"/>
        <v>11.522474047186931</v>
      </c>
      <c r="H13" s="161">
        <f t="shared" si="4"/>
        <v>258.10341865698723</v>
      </c>
      <c r="I13" s="167">
        <f t="shared" si="5"/>
        <v>0.26077178106791477</v>
      </c>
      <c r="J13" s="167">
        <f t="shared" si="6"/>
        <v>1.6980488069538637E-2</v>
      </c>
      <c r="K13" s="167">
        <f t="shared" si="7"/>
        <v>0.3214163813162671</v>
      </c>
      <c r="L13" s="168">
        <f t="shared" si="8"/>
        <v>6.6709060273187496E-3</v>
      </c>
      <c r="M13" s="163">
        <f t="shared" si="9"/>
        <v>4194.3727965588305</v>
      </c>
    </row>
    <row r="14" spans="2:13" x14ac:dyDescent="0.25">
      <c r="B14" s="164">
        <v>8</v>
      </c>
      <c r="C14" s="165">
        <f>$C$20*0.05</f>
        <v>3006.1000000000004</v>
      </c>
      <c r="D14" s="166">
        <f t="shared" si="0"/>
        <v>24048.800000000003</v>
      </c>
      <c r="E14" s="167">
        <f t="shared" si="1"/>
        <v>1184.6699507389164</v>
      </c>
      <c r="F14" s="35">
        <f t="shared" si="2"/>
        <v>4620.2128078817741</v>
      </c>
      <c r="G14" s="167">
        <f t="shared" si="3"/>
        <v>10.9737848068447</v>
      </c>
      <c r="H14" s="161">
        <f t="shared" si="4"/>
        <v>245.81277967332124</v>
      </c>
      <c r="I14" s="167">
        <f t="shared" si="5"/>
        <v>0.24835407720753783</v>
      </c>
      <c r="J14" s="167">
        <f t="shared" si="6"/>
        <v>1.6171893399560603E-2</v>
      </c>
      <c r="K14" s="167">
        <f t="shared" si="7"/>
        <v>0.30611083934882571</v>
      </c>
      <c r="L14" s="168">
        <f t="shared" si="8"/>
        <v>6.3532438355416651E-3</v>
      </c>
      <c r="M14" s="163">
        <f t="shared" si="9"/>
        <v>3994.6407586274568</v>
      </c>
    </row>
    <row r="15" spans="2:13" x14ac:dyDescent="0.25">
      <c r="B15" s="164">
        <v>9</v>
      </c>
      <c r="C15" s="165">
        <f>$C$20*0.07</f>
        <v>4208.54</v>
      </c>
      <c r="D15" s="166">
        <f t="shared" si="0"/>
        <v>37876.86</v>
      </c>
      <c r="E15" s="167">
        <f t="shared" si="1"/>
        <v>1865.8551724137931</v>
      </c>
      <c r="F15" s="35">
        <f t="shared" si="2"/>
        <v>7276.8351724137929</v>
      </c>
      <c r="G15" s="167">
        <f t="shared" si="3"/>
        <v>17.283711070780402</v>
      </c>
      <c r="H15" s="161">
        <f t="shared" si="4"/>
        <v>387.15512798548099</v>
      </c>
      <c r="I15" s="167">
        <f t="shared" si="5"/>
        <v>0.39115767160187215</v>
      </c>
      <c r="J15" s="167">
        <f t="shared" si="6"/>
        <v>2.5470732104307958E-2</v>
      </c>
      <c r="K15" s="167">
        <f t="shared" si="7"/>
        <v>0.48212457197440062</v>
      </c>
      <c r="L15" s="168">
        <f t="shared" si="8"/>
        <v>1.0006359040978125E-2</v>
      </c>
      <c r="M15" s="163">
        <f t="shared" si="9"/>
        <v>6291.5591948382462</v>
      </c>
    </row>
    <row r="16" spans="2:13" x14ac:dyDescent="0.25">
      <c r="B16" s="164">
        <v>10</v>
      </c>
      <c r="C16" s="165">
        <f>$C$20*0.06</f>
        <v>3607.3199999999997</v>
      </c>
      <c r="D16" s="166">
        <f t="shared" si="0"/>
        <v>36073.199999999997</v>
      </c>
      <c r="E16" s="167">
        <f t="shared" si="1"/>
        <v>1777.0049261083741</v>
      </c>
      <c r="F16" s="35">
        <f t="shared" si="2"/>
        <v>6930.3192118226589</v>
      </c>
      <c r="G16" s="167">
        <f t="shared" si="3"/>
        <v>16.460677210267043</v>
      </c>
      <c r="H16" s="161">
        <f t="shared" si="4"/>
        <v>368.71916950998173</v>
      </c>
      <c r="I16" s="167">
        <f t="shared" si="5"/>
        <v>0.37253111581130594</v>
      </c>
      <c r="J16" s="167">
        <f t="shared" si="6"/>
        <v>2.4257840099340854E-2</v>
      </c>
      <c r="K16" s="167">
        <f t="shared" si="7"/>
        <v>0.4591662590232376</v>
      </c>
      <c r="L16" s="168">
        <f t="shared" si="8"/>
        <v>9.5298657533124768E-3</v>
      </c>
      <c r="M16" s="163">
        <f t="shared" si="9"/>
        <v>5991.9611379411726</v>
      </c>
    </row>
    <row r="17" spans="2:13" x14ac:dyDescent="0.25">
      <c r="B17" s="164">
        <v>14</v>
      </c>
      <c r="C17" s="165">
        <f>$C$20*0.09</f>
        <v>5410.98</v>
      </c>
      <c r="D17" s="166">
        <f t="shared" si="0"/>
        <v>75753.72</v>
      </c>
      <c r="E17" s="167">
        <f t="shared" si="1"/>
        <v>3731.7103448275861</v>
      </c>
      <c r="F17" s="35">
        <f t="shared" si="2"/>
        <v>14553.670344827586</v>
      </c>
      <c r="G17" s="167">
        <f t="shared" si="3"/>
        <v>34.567422141560805</v>
      </c>
      <c r="H17" s="161">
        <f t="shared" si="4"/>
        <v>774.31025597096198</v>
      </c>
      <c r="I17" s="167">
        <f t="shared" si="5"/>
        <v>0.7823153432037443</v>
      </c>
      <c r="J17" s="167">
        <f t="shared" si="6"/>
        <v>5.0941464208615915E-2</v>
      </c>
      <c r="K17" s="167">
        <f t="shared" si="7"/>
        <v>0.96424914394880124</v>
      </c>
      <c r="L17" s="168">
        <f t="shared" si="8"/>
        <v>2.001271808195625E-2</v>
      </c>
      <c r="M17" s="163">
        <f t="shared" si="9"/>
        <v>12583.118389676492</v>
      </c>
    </row>
    <row r="18" spans="2:13" x14ac:dyDescent="0.25">
      <c r="B18" s="164">
        <v>16</v>
      </c>
      <c r="C18" s="165">
        <f>$C$20*0.08</f>
        <v>4809.76</v>
      </c>
      <c r="D18" s="166">
        <f t="shared" si="0"/>
        <v>76956.160000000003</v>
      </c>
      <c r="E18" s="167">
        <f t="shared" si="1"/>
        <v>3790.943842364532</v>
      </c>
      <c r="F18" s="35">
        <f t="shared" si="2"/>
        <v>14784.680985221674</v>
      </c>
      <c r="G18" s="167">
        <f t="shared" si="3"/>
        <v>35.116111381903039</v>
      </c>
      <c r="H18" s="161">
        <f t="shared" si="4"/>
        <v>786.60089495462807</v>
      </c>
      <c r="I18" s="167">
        <f t="shared" si="5"/>
        <v>0.79473304706411974</v>
      </c>
      <c r="J18" s="167">
        <f t="shared" si="6"/>
        <v>5.1750058878593852E-2</v>
      </c>
      <c r="K18" s="167">
        <f t="shared" si="7"/>
        <v>0.97955468591624073</v>
      </c>
      <c r="L18" s="168">
        <f t="shared" si="8"/>
        <v>2.0330380273733295E-2</v>
      </c>
      <c r="M18" s="163">
        <f t="shared" si="9"/>
        <v>12782.85042760784</v>
      </c>
    </row>
    <row r="19" spans="2:13" x14ac:dyDescent="0.25">
      <c r="B19" s="164">
        <v>20</v>
      </c>
      <c r="C19" s="165">
        <f>$C$20*0.1</f>
        <v>6012.2000000000007</v>
      </c>
      <c r="D19" s="166">
        <f t="shared" si="0"/>
        <v>120244.00000000001</v>
      </c>
      <c r="E19" s="167">
        <f t="shared" si="1"/>
        <v>5923.3497536945815</v>
      </c>
      <c r="F19" s="35">
        <f t="shared" si="2"/>
        <v>23101.064039408866</v>
      </c>
      <c r="G19" s="167">
        <f t="shared" si="3"/>
        <v>54.86892403422349</v>
      </c>
      <c r="H19" s="161">
        <f t="shared" si="4"/>
        <v>1229.0638983666061</v>
      </c>
      <c r="I19" s="167">
        <f t="shared" si="5"/>
        <v>1.2417703860376905</v>
      </c>
      <c r="J19" s="167">
        <f t="shared" si="6"/>
        <v>8.0859466997803109E-2</v>
      </c>
      <c r="K19" s="167">
        <f t="shared" si="7"/>
        <v>1.5305541967441303</v>
      </c>
      <c r="L19" s="168">
        <f t="shared" si="8"/>
        <v>3.176621917770836E-2</v>
      </c>
      <c r="M19" s="163">
        <f t="shared" si="9"/>
        <v>19973.203793137305</v>
      </c>
    </row>
    <row r="20" spans="2:13" s="169" customFormat="1" x14ac:dyDescent="0.25">
      <c r="B20" s="170" t="s">
        <v>182</v>
      </c>
      <c r="C20" s="171">
        <v>60122</v>
      </c>
      <c r="D20" s="171">
        <f t="shared" ref="D20:M20" si="10">SUM(D7:D19)</f>
        <v>518852.86</v>
      </c>
      <c r="E20" s="171">
        <f t="shared" si="10"/>
        <v>25559.25418719212</v>
      </c>
      <c r="F20" s="172">
        <f t="shared" si="10"/>
        <v>99681.091330049254</v>
      </c>
      <c r="G20" s="173">
        <f t="shared" si="10"/>
        <v>236.75940720767434</v>
      </c>
      <c r="H20" s="174">
        <f t="shared" si="10"/>
        <v>5303.4107214519054</v>
      </c>
      <c r="I20" s="173">
        <f t="shared" si="10"/>
        <v>5.3582392157526284</v>
      </c>
      <c r="J20" s="173">
        <f t="shared" si="10"/>
        <v>0.34890860009552005</v>
      </c>
      <c r="K20" s="173">
        <f t="shared" si="10"/>
        <v>6.604341358950915</v>
      </c>
      <c r="L20" s="175">
        <f t="shared" si="10"/>
        <v>0.1370712357518114</v>
      </c>
      <c r="M20" s="175">
        <f t="shared" si="10"/>
        <v>86184.374367387383</v>
      </c>
    </row>
    <row r="21" spans="2:13" x14ac:dyDescent="0.25">
      <c r="B21" s="69" t="s">
        <v>183</v>
      </c>
      <c r="L21" s="176">
        <f>SUM(I20:L20)</f>
        <v>12.448560410550876</v>
      </c>
      <c r="M21" s="176">
        <f>SUM(J20:M20)</f>
        <v>86191.464688582186</v>
      </c>
    </row>
    <row r="22" spans="2:13" x14ac:dyDescent="0.25">
      <c r="B22" s="69" t="s">
        <v>184</v>
      </c>
      <c r="L22" s="176"/>
      <c r="M22" s="176"/>
    </row>
    <row r="23" spans="2:13" x14ac:dyDescent="0.25">
      <c r="B23" s="69" t="s">
        <v>185</v>
      </c>
      <c r="L23" s="176"/>
      <c r="M23" s="176"/>
    </row>
    <row r="24" spans="2:13" x14ac:dyDescent="0.25">
      <c r="B24" s="69" t="s">
        <v>186</v>
      </c>
      <c r="L24" s="176"/>
      <c r="M24" s="176"/>
    </row>
    <row r="25" spans="2:13" x14ac:dyDescent="0.25">
      <c r="B25" s="69" t="s">
        <v>187</v>
      </c>
      <c r="L25" s="176"/>
      <c r="M25" s="176"/>
    </row>
    <row r="26" spans="2:13" x14ac:dyDescent="0.25">
      <c r="B26" s="69" t="s">
        <v>188</v>
      </c>
    </row>
    <row r="27" spans="2:13" x14ac:dyDescent="0.25">
      <c r="B27" s="69" t="s">
        <v>189</v>
      </c>
    </row>
    <row r="29" spans="2:13" x14ac:dyDescent="0.25">
      <c r="B29" s="69" t="s">
        <v>190</v>
      </c>
    </row>
    <row r="30" spans="2:13" x14ac:dyDescent="0.25">
      <c r="B30" s="177" t="s">
        <v>191</v>
      </c>
    </row>
    <row r="31" spans="2:13" ht="3.75" customHeight="1" x14ac:dyDescent="0.25">
      <c r="B31" s="57"/>
    </row>
    <row r="32" spans="2:13" x14ac:dyDescent="0.25">
      <c r="B32" s="57" t="s">
        <v>192</v>
      </c>
    </row>
    <row r="33" spans="2:2" ht="4.5" customHeight="1" x14ac:dyDescent="0.25">
      <c r="B33" s="57"/>
    </row>
    <row r="34" spans="2:2" x14ac:dyDescent="0.25">
      <c r="B34" s="57" t="s">
        <v>193</v>
      </c>
    </row>
    <row r="35" spans="2:2" ht="2.25" customHeight="1" x14ac:dyDescent="0.25">
      <c r="B35" s="57"/>
    </row>
    <row r="36" spans="2:2" x14ac:dyDescent="0.25">
      <c r="B36" s="57" t="s">
        <v>194</v>
      </c>
    </row>
    <row r="37" spans="2:2" ht="3" customHeight="1" x14ac:dyDescent="0.25">
      <c r="B37" s="57"/>
    </row>
    <row r="38" spans="2:2" x14ac:dyDescent="0.25">
      <c r="B38" s="57" t="s">
        <v>195</v>
      </c>
    </row>
    <row r="40" spans="2:2" x14ac:dyDescent="0.25">
      <c r="B40" s="69" t="s">
        <v>196</v>
      </c>
    </row>
  </sheetData>
  <pageMargins left="0.7" right="0.7" top="0.75" bottom="0.62986111111111098"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6"/>
  <sheetViews>
    <sheetView zoomScaleNormal="100" workbookViewId="0">
      <selection activeCell="B15" sqref="B15"/>
    </sheetView>
  </sheetViews>
  <sheetFormatPr defaultRowHeight="15.75" x14ac:dyDescent="0.25"/>
  <cols>
    <col min="1" max="1" width="9.140625" style="7"/>
    <col min="2" max="2" width="31.85546875" style="7"/>
    <col min="3" max="3" width="26.28515625" style="7"/>
    <col min="4" max="1025" width="9.140625" style="7"/>
  </cols>
  <sheetData>
    <row r="2" spans="2:3" x14ac:dyDescent="0.25">
      <c r="B2" s="71" t="s">
        <v>197</v>
      </c>
    </row>
    <row r="4" spans="2:3" x14ac:dyDescent="0.25">
      <c r="B4" s="178" t="s">
        <v>198</v>
      </c>
      <c r="C4" s="179">
        <v>294405</v>
      </c>
    </row>
    <row r="5" spans="2:3" x14ac:dyDescent="0.25">
      <c r="B5" s="180" t="s">
        <v>199</v>
      </c>
      <c r="C5" s="181"/>
    </row>
    <row r="6" spans="2:3" x14ac:dyDescent="0.25">
      <c r="B6" s="182" t="s">
        <v>200</v>
      </c>
      <c r="C6" s="183">
        <v>156035</v>
      </c>
    </row>
    <row r="7" spans="2:3" x14ac:dyDescent="0.25">
      <c r="B7" s="182" t="s">
        <v>201</v>
      </c>
      <c r="C7" s="183">
        <v>117762</v>
      </c>
    </row>
    <row r="8" spans="2:3" x14ac:dyDescent="0.25">
      <c r="B8" s="184" t="s">
        <v>202</v>
      </c>
      <c r="C8" s="183">
        <v>20608</v>
      </c>
    </row>
    <row r="9" spans="2:3" x14ac:dyDescent="0.25">
      <c r="B9" s="180" t="s">
        <v>203</v>
      </c>
      <c r="C9" s="181"/>
    </row>
    <row r="10" spans="2:3" x14ac:dyDescent="0.25">
      <c r="B10" s="182" t="s">
        <v>204</v>
      </c>
      <c r="C10" s="183">
        <v>164867</v>
      </c>
    </row>
    <row r="11" spans="2:3" x14ac:dyDescent="0.25">
      <c r="B11" s="182" t="s">
        <v>205</v>
      </c>
      <c r="C11" s="183">
        <v>129538</v>
      </c>
    </row>
    <row r="12" spans="2:3" x14ac:dyDescent="0.25">
      <c r="B12" s="180" t="s">
        <v>206</v>
      </c>
      <c r="C12" s="181"/>
    </row>
    <row r="13" spans="2:3" x14ac:dyDescent="0.25">
      <c r="B13" s="182" t="s">
        <v>207</v>
      </c>
      <c r="C13" s="183">
        <v>164867</v>
      </c>
    </row>
    <row r="14" spans="2:3" x14ac:dyDescent="0.25">
      <c r="B14" s="182" t="s">
        <v>201</v>
      </c>
      <c r="C14" s="183">
        <v>58881</v>
      </c>
    </row>
    <row r="15" spans="2:3" x14ac:dyDescent="0.25">
      <c r="B15" s="182" t="s">
        <v>200</v>
      </c>
      <c r="C15" s="183">
        <v>32767</v>
      </c>
    </row>
    <row r="16" spans="2:3" x14ac:dyDescent="0.25">
      <c r="B16" s="182" t="s">
        <v>208</v>
      </c>
      <c r="C16" s="183">
        <v>11776</v>
      </c>
    </row>
    <row r="17" spans="2:3" x14ac:dyDescent="0.25">
      <c r="B17" s="180" t="s">
        <v>209</v>
      </c>
      <c r="C17" s="181"/>
    </row>
    <row r="18" spans="2:3" x14ac:dyDescent="0.25">
      <c r="B18" s="182" t="s">
        <v>210</v>
      </c>
      <c r="C18" s="183">
        <v>223748</v>
      </c>
    </row>
    <row r="19" spans="2:3" x14ac:dyDescent="0.25">
      <c r="B19" s="182" t="s">
        <v>211</v>
      </c>
      <c r="C19" s="183">
        <v>123650</v>
      </c>
    </row>
    <row r="20" spans="2:3" x14ac:dyDescent="0.25">
      <c r="B20" s="185" t="s">
        <v>212</v>
      </c>
      <c r="C20" s="186">
        <v>11776</v>
      </c>
    </row>
    <row r="21" spans="2:3" x14ac:dyDescent="0.25">
      <c r="B21" s="178" t="s">
        <v>213</v>
      </c>
      <c r="C21" s="187">
        <v>2060836</v>
      </c>
    </row>
    <row r="22" spans="2:3" x14ac:dyDescent="0.25">
      <c r="B22" s="178" t="s">
        <v>214</v>
      </c>
      <c r="C22" s="187">
        <v>37683855</v>
      </c>
    </row>
    <row r="23" spans="2:3" ht="31.5" x14ac:dyDescent="0.25">
      <c r="B23" s="178" t="s">
        <v>215</v>
      </c>
      <c r="C23" s="186">
        <v>16192</v>
      </c>
    </row>
    <row r="24" spans="2:3" ht="79.5" customHeight="1" x14ac:dyDescent="0.25">
      <c r="B24" s="2" t="s">
        <v>216</v>
      </c>
      <c r="C24" s="2"/>
    </row>
    <row r="25" spans="2:3" ht="4.5" customHeight="1" x14ac:dyDescent="0.25">
      <c r="B25" s="73"/>
    </row>
    <row r="26" spans="2:3" ht="36.75" customHeight="1" x14ac:dyDescent="0.25">
      <c r="B26" s="1" t="s">
        <v>217</v>
      </c>
      <c r="C26" s="1"/>
    </row>
  </sheetData>
  <mergeCells count="2">
    <mergeCell ref="B24:C24"/>
    <mergeCell ref="B26:C26"/>
  </mergeCells>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MK38"/>
  <sheetViews>
    <sheetView zoomScaleNormal="100" workbookViewId="0">
      <selection activeCell="L18" sqref="L18"/>
    </sheetView>
  </sheetViews>
  <sheetFormatPr defaultRowHeight="15.75" x14ac:dyDescent="0.25"/>
  <cols>
    <col min="1" max="2" width="8.85546875" style="7"/>
    <col min="3" max="3" width="52.85546875" style="7"/>
    <col min="4" max="4" width="7.140625" style="7"/>
    <col min="5" max="5" width="9" style="7"/>
    <col min="6" max="6" width="8.85546875" style="188"/>
    <col min="7" max="7" width="12.28515625" style="7"/>
    <col min="8" max="8" width="9.5703125" style="188"/>
    <col min="9" max="10" width="12.7109375" style="7"/>
    <col min="11" max="1025" width="8.85546875" style="7"/>
  </cols>
  <sheetData>
    <row r="4" spans="3:10" x14ac:dyDescent="0.25">
      <c r="C4" s="69" t="s">
        <v>218</v>
      </c>
    </row>
    <row r="5" spans="3:10" s="73" customFormat="1" ht="47.25" x14ac:dyDescent="0.25">
      <c r="C5" s="189" t="s">
        <v>219</v>
      </c>
      <c r="D5" s="190" t="s">
        <v>220</v>
      </c>
      <c r="E5" s="190" t="s">
        <v>221</v>
      </c>
      <c r="F5" s="191" t="s">
        <v>222</v>
      </c>
      <c r="G5" s="190" t="s">
        <v>223</v>
      </c>
      <c r="H5" s="191" t="s">
        <v>224</v>
      </c>
      <c r="I5" s="190" t="s">
        <v>225</v>
      </c>
      <c r="J5" s="192" t="s">
        <v>226</v>
      </c>
    </row>
    <row r="6" spans="3:10" x14ac:dyDescent="0.25">
      <c r="C6" s="193" t="s">
        <v>227</v>
      </c>
      <c r="D6" s="194" t="s">
        <v>228</v>
      </c>
      <c r="E6" s="195"/>
      <c r="F6" s="196"/>
      <c r="G6" s="195">
        <v>12000</v>
      </c>
      <c r="H6" s="196"/>
      <c r="I6" s="195">
        <v>150000</v>
      </c>
      <c r="J6" s="197">
        <f t="shared" ref="J6:J37" si="0">I6+G6</f>
        <v>162000</v>
      </c>
    </row>
    <row r="7" spans="3:10" x14ac:dyDescent="0.25">
      <c r="C7" s="198" t="s">
        <v>229</v>
      </c>
      <c r="D7" s="199" t="s">
        <v>230</v>
      </c>
      <c r="E7" s="200">
        <v>500</v>
      </c>
      <c r="F7" s="201">
        <v>6</v>
      </c>
      <c r="G7" s="200">
        <f>F7*E7</f>
        <v>3000</v>
      </c>
      <c r="H7" s="201">
        <v>7</v>
      </c>
      <c r="I7" s="200">
        <f>H7*E7</f>
        <v>3500</v>
      </c>
      <c r="J7" s="202">
        <f t="shared" si="0"/>
        <v>6500</v>
      </c>
    </row>
    <row r="8" spans="3:10" x14ac:dyDescent="0.25">
      <c r="C8" s="198" t="s">
        <v>231</v>
      </c>
      <c r="D8" s="199" t="s">
        <v>228</v>
      </c>
      <c r="E8" s="200"/>
      <c r="F8" s="201"/>
      <c r="G8" s="200">
        <v>45000</v>
      </c>
      <c r="H8" s="201"/>
      <c r="I8" s="200">
        <v>35000</v>
      </c>
      <c r="J8" s="202">
        <f t="shared" si="0"/>
        <v>80000</v>
      </c>
    </row>
    <row r="9" spans="3:10" x14ac:dyDescent="0.25">
      <c r="C9" s="198" t="s">
        <v>232</v>
      </c>
      <c r="D9" s="199" t="s">
        <v>228</v>
      </c>
      <c r="E9" s="200"/>
      <c r="F9" s="201"/>
      <c r="G9" s="200">
        <v>10000</v>
      </c>
      <c r="H9" s="201"/>
      <c r="I9" s="200">
        <v>40000</v>
      </c>
      <c r="J9" s="202">
        <f t="shared" si="0"/>
        <v>50000</v>
      </c>
    </row>
    <row r="10" spans="3:10" x14ac:dyDescent="0.25">
      <c r="C10" s="198" t="s">
        <v>233</v>
      </c>
      <c r="D10" s="199" t="s">
        <v>234</v>
      </c>
      <c r="E10" s="200">
        <v>55</v>
      </c>
      <c r="F10" s="201">
        <v>225</v>
      </c>
      <c r="G10" s="200">
        <f>F10*E10</f>
        <v>12375</v>
      </c>
      <c r="H10" s="201">
        <v>650</v>
      </c>
      <c r="I10" s="200">
        <f>H10*E10</f>
        <v>35750</v>
      </c>
      <c r="J10" s="202">
        <f t="shared" si="0"/>
        <v>48125</v>
      </c>
    </row>
    <row r="11" spans="3:10" x14ac:dyDescent="0.25">
      <c r="C11" s="198" t="s">
        <v>235</v>
      </c>
      <c r="D11" s="199" t="s">
        <v>228</v>
      </c>
      <c r="E11" s="200"/>
      <c r="F11" s="201"/>
      <c r="G11" s="200">
        <v>6000</v>
      </c>
      <c r="H11" s="201"/>
      <c r="I11" s="200">
        <v>18000</v>
      </c>
      <c r="J11" s="202">
        <f t="shared" si="0"/>
        <v>24000</v>
      </c>
    </row>
    <row r="12" spans="3:10" x14ac:dyDescent="0.25">
      <c r="C12" s="198" t="s">
        <v>236</v>
      </c>
      <c r="D12" s="199" t="s">
        <v>228</v>
      </c>
      <c r="E12" s="200"/>
      <c r="F12" s="201"/>
      <c r="G12" s="200">
        <v>24000</v>
      </c>
      <c r="H12" s="201"/>
      <c r="I12" s="200">
        <v>50000</v>
      </c>
      <c r="J12" s="202">
        <f t="shared" si="0"/>
        <v>74000</v>
      </c>
    </row>
    <row r="13" spans="3:10" x14ac:dyDescent="0.25">
      <c r="C13" s="198" t="s">
        <v>237</v>
      </c>
      <c r="D13" s="199" t="s">
        <v>228</v>
      </c>
      <c r="E13" s="200"/>
      <c r="F13" s="201"/>
      <c r="G13" s="200">
        <v>20000</v>
      </c>
      <c r="H13" s="201"/>
      <c r="I13" s="200">
        <v>45000</v>
      </c>
      <c r="J13" s="202">
        <f t="shared" si="0"/>
        <v>65000</v>
      </c>
    </row>
    <row r="14" spans="3:10" x14ac:dyDescent="0.25">
      <c r="C14" s="198" t="s">
        <v>238</v>
      </c>
      <c r="D14" s="199" t="s">
        <v>230</v>
      </c>
      <c r="E14" s="200">
        <v>400</v>
      </c>
      <c r="F14" s="201">
        <v>3</v>
      </c>
      <c r="G14" s="200">
        <f>F14*E14</f>
        <v>1200</v>
      </c>
      <c r="H14" s="201">
        <v>5</v>
      </c>
      <c r="I14" s="200">
        <f>H14*E14</f>
        <v>2000</v>
      </c>
      <c r="J14" s="202">
        <f t="shared" si="0"/>
        <v>3200</v>
      </c>
    </row>
    <row r="15" spans="3:10" x14ac:dyDescent="0.25">
      <c r="C15" s="198" t="s">
        <v>239</v>
      </c>
      <c r="D15" s="199" t="s">
        <v>230</v>
      </c>
      <c r="E15" s="200">
        <v>1000</v>
      </c>
      <c r="F15" s="201">
        <v>3</v>
      </c>
      <c r="G15" s="200">
        <f>F15*E15</f>
        <v>3000</v>
      </c>
      <c r="H15" s="201">
        <v>5</v>
      </c>
      <c r="I15" s="200">
        <f>H15*E15</f>
        <v>5000</v>
      </c>
      <c r="J15" s="202">
        <f t="shared" si="0"/>
        <v>8000</v>
      </c>
    </row>
    <row r="16" spans="3:10" x14ac:dyDescent="0.25">
      <c r="C16" s="198" t="s">
        <v>240</v>
      </c>
      <c r="D16" s="199" t="s">
        <v>230</v>
      </c>
      <c r="E16" s="200">
        <v>4000</v>
      </c>
      <c r="F16" s="201">
        <v>3</v>
      </c>
      <c r="G16" s="200">
        <f>F16*E16</f>
        <v>12000</v>
      </c>
      <c r="H16" s="201">
        <v>5</v>
      </c>
      <c r="I16" s="200">
        <f>H16*E16</f>
        <v>20000</v>
      </c>
      <c r="J16" s="202">
        <f t="shared" si="0"/>
        <v>32000</v>
      </c>
    </row>
    <row r="17" spans="3:10" x14ac:dyDescent="0.25">
      <c r="C17" s="198" t="s">
        <v>241</v>
      </c>
      <c r="D17" s="199" t="s">
        <v>242</v>
      </c>
      <c r="E17" s="200">
        <v>102</v>
      </c>
      <c r="F17" s="201">
        <v>120</v>
      </c>
      <c r="G17" s="200">
        <f>F17*E17</f>
        <v>12240</v>
      </c>
      <c r="H17" s="201">
        <v>96</v>
      </c>
      <c r="I17" s="200">
        <f>H17*E17</f>
        <v>9792</v>
      </c>
      <c r="J17" s="202">
        <f t="shared" si="0"/>
        <v>22032</v>
      </c>
    </row>
    <row r="18" spans="3:10" x14ac:dyDescent="0.25">
      <c r="C18" s="198" t="s">
        <v>243</v>
      </c>
      <c r="D18" s="199" t="s">
        <v>228</v>
      </c>
      <c r="E18" s="200"/>
      <c r="F18" s="201"/>
      <c r="G18" s="200">
        <v>4000</v>
      </c>
      <c r="H18" s="201"/>
      <c r="I18" s="200">
        <v>8600</v>
      </c>
      <c r="J18" s="202">
        <f t="shared" si="0"/>
        <v>12600</v>
      </c>
    </row>
    <row r="19" spans="3:10" x14ac:dyDescent="0.25">
      <c r="C19" s="198" t="s">
        <v>244</v>
      </c>
      <c r="D19" s="199" t="s">
        <v>234</v>
      </c>
      <c r="E19" s="200">
        <v>18</v>
      </c>
      <c r="F19" s="201">
        <v>2317</v>
      </c>
      <c r="G19" s="200">
        <f t="shared" ref="G19:G25" si="1">F19*E19</f>
        <v>41706</v>
      </c>
      <c r="H19" s="201">
        <v>6000</v>
      </c>
      <c r="I19" s="200">
        <f t="shared" ref="I19:I26" si="2">H19*E19</f>
        <v>108000</v>
      </c>
      <c r="J19" s="202">
        <f t="shared" si="0"/>
        <v>149706</v>
      </c>
    </row>
    <row r="20" spans="3:10" x14ac:dyDescent="0.25">
      <c r="C20" s="198" t="s">
        <v>245</v>
      </c>
      <c r="D20" s="199" t="s">
        <v>234</v>
      </c>
      <c r="E20" s="200">
        <v>30</v>
      </c>
      <c r="F20" s="201">
        <v>488</v>
      </c>
      <c r="G20" s="200">
        <f t="shared" si="1"/>
        <v>14640</v>
      </c>
      <c r="H20" s="201">
        <v>2000</v>
      </c>
      <c r="I20" s="200">
        <f t="shared" si="2"/>
        <v>60000</v>
      </c>
      <c r="J20" s="202">
        <f t="shared" si="0"/>
        <v>74640</v>
      </c>
    </row>
    <row r="21" spans="3:10" x14ac:dyDescent="0.25">
      <c r="C21" s="198" t="s">
        <v>246</v>
      </c>
      <c r="D21" s="199" t="s">
        <v>242</v>
      </c>
      <c r="E21" s="200">
        <v>5</v>
      </c>
      <c r="F21" s="201">
        <v>1200</v>
      </c>
      <c r="G21" s="200">
        <f t="shared" si="1"/>
        <v>6000</v>
      </c>
      <c r="H21" s="201">
        <v>4700</v>
      </c>
      <c r="I21" s="200">
        <f t="shared" si="2"/>
        <v>23500</v>
      </c>
      <c r="J21" s="202">
        <f t="shared" si="0"/>
        <v>29500</v>
      </c>
    </row>
    <row r="22" spans="3:10" x14ac:dyDescent="0.25">
      <c r="C22" s="198" t="s">
        <v>247</v>
      </c>
      <c r="D22" s="199" t="s">
        <v>234</v>
      </c>
      <c r="E22" s="200">
        <v>50</v>
      </c>
      <c r="F22" s="201">
        <v>4200</v>
      </c>
      <c r="G22" s="200">
        <f t="shared" si="1"/>
        <v>210000</v>
      </c>
      <c r="H22" s="201">
        <v>9600</v>
      </c>
      <c r="I22" s="200">
        <f t="shared" si="2"/>
        <v>480000</v>
      </c>
      <c r="J22" s="202">
        <f t="shared" si="0"/>
        <v>690000</v>
      </c>
    </row>
    <row r="23" spans="3:10" x14ac:dyDescent="0.25">
      <c r="C23" s="198" t="s">
        <v>248</v>
      </c>
      <c r="D23" s="199" t="s">
        <v>249</v>
      </c>
      <c r="E23" s="200">
        <v>100</v>
      </c>
      <c r="F23" s="201">
        <v>50</v>
      </c>
      <c r="G23" s="200">
        <f t="shared" si="1"/>
        <v>5000</v>
      </c>
      <c r="H23" s="201">
        <v>250</v>
      </c>
      <c r="I23" s="200">
        <f t="shared" si="2"/>
        <v>25000</v>
      </c>
      <c r="J23" s="202">
        <f t="shared" si="0"/>
        <v>30000</v>
      </c>
    </row>
    <row r="24" spans="3:10" x14ac:dyDescent="0.25">
      <c r="C24" s="198" t="s">
        <v>250</v>
      </c>
      <c r="D24" s="199" t="s">
        <v>251</v>
      </c>
      <c r="E24" s="200">
        <v>50</v>
      </c>
      <c r="F24" s="201">
        <v>285</v>
      </c>
      <c r="G24" s="200">
        <f t="shared" si="1"/>
        <v>14250</v>
      </c>
      <c r="H24" s="201">
        <v>0</v>
      </c>
      <c r="I24" s="200">
        <f t="shared" si="2"/>
        <v>0</v>
      </c>
      <c r="J24" s="202">
        <f t="shared" si="0"/>
        <v>14250</v>
      </c>
    </row>
    <row r="25" spans="3:10" x14ac:dyDescent="0.25">
      <c r="C25" s="198" t="s">
        <v>252</v>
      </c>
      <c r="D25" s="199" t="s">
        <v>249</v>
      </c>
      <c r="E25" s="200">
        <v>100</v>
      </c>
      <c r="F25" s="201">
        <v>1500</v>
      </c>
      <c r="G25" s="200">
        <f t="shared" si="1"/>
        <v>150000</v>
      </c>
      <c r="H25" s="201">
        <v>2800</v>
      </c>
      <c r="I25" s="200">
        <f t="shared" si="2"/>
        <v>280000</v>
      </c>
      <c r="J25" s="202">
        <f t="shared" si="0"/>
        <v>430000</v>
      </c>
    </row>
    <row r="26" spans="3:10" x14ac:dyDescent="0.25">
      <c r="C26" s="198" t="s">
        <v>253</v>
      </c>
      <c r="D26" s="199" t="s">
        <v>228</v>
      </c>
      <c r="E26" s="200"/>
      <c r="F26" s="201"/>
      <c r="G26" s="200">
        <v>25200</v>
      </c>
      <c r="H26" s="201"/>
      <c r="I26" s="200">
        <f t="shared" si="2"/>
        <v>0</v>
      </c>
      <c r="J26" s="202">
        <f t="shared" si="0"/>
        <v>25200</v>
      </c>
    </row>
    <row r="27" spans="3:10" x14ac:dyDescent="0.25">
      <c r="C27" s="198" t="s">
        <v>254</v>
      </c>
      <c r="D27" s="199" t="s">
        <v>228</v>
      </c>
      <c r="E27" s="200"/>
      <c r="F27" s="201"/>
      <c r="G27" s="200">
        <v>73000</v>
      </c>
      <c r="H27" s="201"/>
      <c r="I27" s="200">
        <v>25000</v>
      </c>
      <c r="J27" s="202">
        <f t="shared" si="0"/>
        <v>98000</v>
      </c>
    </row>
    <row r="28" spans="3:10" x14ac:dyDescent="0.25">
      <c r="C28" s="198" t="s">
        <v>255</v>
      </c>
      <c r="D28" s="199" t="s">
        <v>234</v>
      </c>
      <c r="E28" s="200">
        <v>1800</v>
      </c>
      <c r="F28" s="201">
        <v>40</v>
      </c>
      <c r="G28" s="200">
        <f>F28*E28</f>
        <v>72000</v>
      </c>
      <c r="H28" s="201">
        <v>116</v>
      </c>
      <c r="I28" s="200">
        <f>H28*E28</f>
        <v>208800</v>
      </c>
      <c r="J28" s="202">
        <f t="shared" si="0"/>
        <v>280800</v>
      </c>
    </row>
    <row r="29" spans="3:10" x14ac:dyDescent="0.25">
      <c r="C29" s="198" t="s">
        <v>256</v>
      </c>
      <c r="D29" s="199" t="s">
        <v>230</v>
      </c>
      <c r="E29" s="200">
        <v>13500</v>
      </c>
      <c r="F29" s="201">
        <v>8</v>
      </c>
      <c r="G29" s="200">
        <f>F29*E29</f>
        <v>108000</v>
      </c>
      <c r="H29" s="201">
        <v>40</v>
      </c>
      <c r="I29" s="200">
        <f>H29*E29</f>
        <v>540000</v>
      </c>
      <c r="J29" s="202">
        <f t="shared" si="0"/>
        <v>648000</v>
      </c>
    </row>
    <row r="30" spans="3:10" x14ac:dyDescent="0.25">
      <c r="C30" s="198" t="s">
        <v>257</v>
      </c>
      <c r="D30" s="199" t="s">
        <v>230</v>
      </c>
      <c r="E30" s="200"/>
      <c r="F30" s="201">
        <v>1</v>
      </c>
      <c r="G30" s="200">
        <v>30000</v>
      </c>
      <c r="H30" s="201">
        <v>3</v>
      </c>
      <c r="I30" s="200">
        <v>860000</v>
      </c>
      <c r="J30" s="202">
        <f t="shared" si="0"/>
        <v>890000</v>
      </c>
    </row>
    <row r="31" spans="3:10" x14ac:dyDescent="0.25">
      <c r="C31" s="198" t="s">
        <v>258</v>
      </c>
      <c r="D31" s="199" t="s">
        <v>228</v>
      </c>
      <c r="E31" s="200"/>
      <c r="F31" s="201">
        <v>1</v>
      </c>
      <c r="G31" s="200">
        <v>25000</v>
      </c>
      <c r="H31" s="201">
        <v>2</v>
      </c>
      <c r="I31" s="200">
        <v>67000</v>
      </c>
      <c r="J31" s="202">
        <f t="shared" si="0"/>
        <v>92000</v>
      </c>
    </row>
    <row r="32" spans="3:10" x14ac:dyDescent="0.25">
      <c r="C32" s="198" t="s">
        <v>259</v>
      </c>
      <c r="D32" s="199" t="s">
        <v>242</v>
      </c>
      <c r="E32" s="200">
        <v>50</v>
      </c>
      <c r="F32" s="201">
        <v>1500</v>
      </c>
      <c r="G32" s="200">
        <f>F32*E32</f>
        <v>75000</v>
      </c>
      <c r="H32" s="201">
        <v>9600</v>
      </c>
      <c r="I32" s="200">
        <f>H32*E32</f>
        <v>480000</v>
      </c>
      <c r="J32" s="202">
        <f t="shared" si="0"/>
        <v>555000</v>
      </c>
    </row>
    <row r="33" spans="3:10" x14ac:dyDescent="0.25">
      <c r="C33" s="198" t="s">
        <v>260</v>
      </c>
      <c r="D33" s="199" t="s">
        <v>242</v>
      </c>
      <c r="E33" s="200">
        <v>55</v>
      </c>
      <c r="F33" s="201">
        <v>140</v>
      </c>
      <c r="G33" s="200">
        <f>F33*E33</f>
        <v>7700</v>
      </c>
      <c r="H33" s="201">
        <v>0</v>
      </c>
      <c r="I33" s="200">
        <f>H33*E33</f>
        <v>0</v>
      </c>
      <c r="J33" s="202">
        <f t="shared" si="0"/>
        <v>7700</v>
      </c>
    </row>
    <row r="34" spans="3:10" x14ac:dyDescent="0.25">
      <c r="C34" s="198" t="s">
        <v>261</v>
      </c>
      <c r="D34" s="199" t="s">
        <v>228</v>
      </c>
      <c r="E34" s="200"/>
      <c r="F34" s="201"/>
      <c r="G34" s="200">
        <v>5000</v>
      </c>
      <c r="H34" s="201"/>
      <c r="I34" s="200">
        <v>5000</v>
      </c>
      <c r="J34" s="202">
        <f t="shared" si="0"/>
        <v>10000</v>
      </c>
    </row>
    <row r="35" spans="3:10" x14ac:dyDescent="0.25">
      <c r="C35" s="198" t="s">
        <v>262</v>
      </c>
      <c r="D35" s="199" t="s">
        <v>228</v>
      </c>
      <c r="E35" s="200"/>
      <c r="F35" s="201"/>
      <c r="G35" s="200">
        <v>80000</v>
      </c>
      <c r="H35" s="201"/>
      <c r="I35" s="200">
        <v>47000</v>
      </c>
      <c r="J35" s="202">
        <f t="shared" si="0"/>
        <v>127000</v>
      </c>
    </row>
    <row r="36" spans="3:10" x14ac:dyDescent="0.25">
      <c r="C36" s="198" t="s">
        <v>263</v>
      </c>
      <c r="D36" s="199" t="s">
        <v>228</v>
      </c>
      <c r="E36" s="200"/>
      <c r="F36" s="201"/>
      <c r="G36" s="200">
        <v>6000</v>
      </c>
      <c r="H36" s="201"/>
      <c r="I36" s="200">
        <f>H36*E36</f>
        <v>0</v>
      </c>
      <c r="J36" s="202">
        <f t="shared" si="0"/>
        <v>6000</v>
      </c>
    </row>
    <row r="37" spans="3:10" x14ac:dyDescent="0.25">
      <c r="C37" s="198" t="s">
        <v>264</v>
      </c>
      <c r="D37" s="203" t="s">
        <v>228</v>
      </c>
      <c r="E37" s="204"/>
      <c r="F37" s="205"/>
      <c r="G37" s="204">
        <v>986689</v>
      </c>
      <c r="H37" s="205"/>
      <c r="I37" s="204">
        <v>668058</v>
      </c>
      <c r="J37" s="206">
        <f t="shared" si="0"/>
        <v>1654747</v>
      </c>
    </row>
    <row r="38" spans="3:10" x14ac:dyDescent="0.25">
      <c r="C38" s="207" t="s">
        <v>182</v>
      </c>
      <c r="D38" s="208"/>
      <c r="E38" s="209"/>
      <c r="F38" s="210"/>
      <c r="G38" s="211">
        <f>SUM(G6:G37)</f>
        <v>2100000</v>
      </c>
      <c r="H38" s="212"/>
      <c r="I38" s="211">
        <f>SUM(I6:I37)</f>
        <v>4300000</v>
      </c>
      <c r="J38" s="213">
        <f>SUM(J6:J37)</f>
        <v>6400000</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Overall CnB Analysis</vt:lpstr>
      <vt:lpstr>ARwT Costs</vt:lpstr>
      <vt:lpstr>Accident Value Benefit</vt:lpstr>
      <vt:lpstr>Trail Benefit Analysis</vt:lpstr>
      <vt:lpstr>20 Year OnM</vt:lpstr>
      <vt:lpstr>GhGE_Reductions</vt:lpstr>
      <vt:lpstr>ARwT Benefits</vt:lpstr>
      <vt:lpstr>Detailed Construction Costs</vt:lpstr>
      <vt:lpstr>'Accident Value Benefit'!Print_Area</vt:lpstr>
      <vt:lpstr>'Overall CnB Analysis'!Print_Area</vt:lpstr>
      <vt:lpstr>'Trail Benefit Analysis'!Print_Area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kdiemer</dc:creator>
  <cp:lastModifiedBy>Owner</cp:lastModifiedBy>
  <cp:revision>0</cp:revision>
  <cp:lastPrinted>2013-06-02T14:02:34Z</cp:lastPrinted>
  <dcterms:created xsi:type="dcterms:W3CDTF">2011-10-22T19:24:15Z</dcterms:created>
  <dcterms:modified xsi:type="dcterms:W3CDTF">2013-06-03T20:12:59Z</dcterms:modified>
</cp:coreProperties>
</file>